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\SafeSync\Team Shares\Grants\2024 BIP MEDOT Sidney-Waterville Bridges I-95\Budget\"/>
    </mc:Choice>
  </mc:AlternateContent>
  <xr:revisionPtr revIDLastSave="0" documentId="13_ncr:1_{9EC6DE15-9759-43A6-9227-D2CF7039F307}" xr6:coauthVersionLast="47" xr6:coauthVersionMax="47" xr10:uidLastSave="{00000000-0000-0000-0000-000000000000}"/>
  <bookViews>
    <workbookView xWindow="-110" yWindow="-110" windowWidth="19420" windowHeight="10300" tabRatio="801" xr2:uid="{29942E57-D281-4164-B534-B4894447AF87}"/>
  </bookViews>
  <sheets>
    <sheet name="Project Budget" sheetId="3" r:id="rId1"/>
    <sheet name="For Narrative" sheetId="4" r:id="rId2"/>
  </sheets>
  <definedNames>
    <definedName name="_xlnm.Print_Area" localSheetId="0">'Project Budget'!$A$1:$V$64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6" i="3" l="1"/>
  <c r="J46" i="3"/>
  <c r="C8" i="4"/>
  <c r="D8" i="4"/>
  <c r="B5" i="4"/>
  <c r="B4" i="4"/>
  <c r="D5" i="4"/>
  <c r="D4" i="4"/>
  <c r="B6" i="4"/>
  <c r="D6" i="4"/>
  <c r="B7" i="4"/>
  <c r="D7" i="4"/>
  <c r="E3" i="4"/>
  <c r="E2" i="4"/>
  <c r="T40" i="3"/>
  <c r="B2" i="4"/>
  <c r="C7" i="3"/>
  <c r="E7" i="3"/>
  <c r="F7" i="3"/>
  <c r="G7" i="3"/>
  <c r="H7" i="3"/>
  <c r="I7" i="3"/>
  <c r="J7" i="3"/>
  <c r="R7" i="3" s="1"/>
  <c r="K7" i="3"/>
  <c r="Q7" i="3" s="1"/>
  <c r="L7" i="3"/>
  <c r="M7" i="3"/>
  <c r="N7" i="3"/>
  <c r="O7" i="3"/>
  <c r="P7" i="3"/>
  <c r="C45" i="3"/>
  <c r="O41" i="3" l="1"/>
  <c r="K77" i="3" s="1"/>
  <c r="K78" i="3" s="1"/>
  <c r="K79" i="3" s="1"/>
  <c r="K80" i="3" s="1"/>
  <c r="K81" i="3" s="1"/>
  <c r="K82" i="3" s="1"/>
  <c r="K83" i="3" s="1"/>
  <c r="O42" i="3"/>
  <c r="M69" i="3" s="1"/>
  <c r="M70" i="3" s="1"/>
  <c r="M71" i="3" s="1"/>
  <c r="M72" i="3" s="1"/>
  <c r="M73" i="3" s="1"/>
  <c r="M74" i="3" s="1"/>
  <c r="M75" i="3" s="1"/>
  <c r="O43" i="3"/>
  <c r="M77" i="3" s="1"/>
  <c r="M78" i="3" s="1"/>
  <c r="M79" i="3" s="1"/>
  <c r="M80" i="3" s="1"/>
  <c r="M81" i="3" s="1"/>
  <c r="M82" i="3" s="1"/>
  <c r="M83" i="3" s="1"/>
  <c r="O44" i="3"/>
  <c r="O69" i="3" s="1"/>
  <c r="O70" i="3" s="1"/>
  <c r="O71" i="3" s="1"/>
  <c r="O72" i="3" s="1"/>
  <c r="O73" i="3" s="1"/>
  <c r="O74" i="3" s="1"/>
  <c r="O75" i="3" s="1"/>
  <c r="O40" i="3"/>
  <c r="K69" i="3" s="1"/>
  <c r="K70" i="3" s="1"/>
  <c r="K71" i="3" s="1"/>
  <c r="K72" i="3" s="1"/>
  <c r="K73" i="3" s="1"/>
  <c r="K74" i="3" s="1"/>
  <c r="K75" i="3" s="1"/>
  <c r="N41" i="3"/>
  <c r="D77" i="3" s="1"/>
  <c r="D78" i="3" s="1"/>
  <c r="D79" i="3" s="1"/>
  <c r="D80" i="3" s="1"/>
  <c r="D81" i="3" s="1"/>
  <c r="D82" i="3" s="1"/>
  <c r="D83" i="3" s="1"/>
  <c r="N42" i="3"/>
  <c r="F69" i="3" s="1"/>
  <c r="F70" i="3" s="1"/>
  <c r="F71" i="3" s="1"/>
  <c r="F72" i="3" s="1"/>
  <c r="F73" i="3" s="1"/>
  <c r="F74" i="3" s="1"/>
  <c r="F75" i="3" s="1"/>
  <c r="N43" i="3"/>
  <c r="F77" i="3" s="1"/>
  <c r="F78" i="3" s="1"/>
  <c r="F79" i="3" s="1"/>
  <c r="F80" i="3" s="1"/>
  <c r="F81" i="3" s="1"/>
  <c r="F82" i="3" s="1"/>
  <c r="F83" i="3" s="1"/>
  <c r="N44" i="3"/>
  <c r="H69" i="3" s="1"/>
  <c r="H70" i="3" s="1"/>
  <c r="H71" i="3" s="1"/>
  <c r="H72" i="3" s="1"/>
  <c r="H73" i="3" s="1"/>
  <c r="H74" i="3" s="1"/>
  <c r="H75" i="3" s="1"/>
  <c r="N40" i="3"/>
  <c r="D69" i="3" s="1"/>
  <c r="D70" i="3" s="1"/>
  <c r="D71" i="3" s="1"/>
  <c r="D72" i="3" s="1"/>
  <c r="D73" i="3" s="1"/>
  <c r="D74" i="3" s="1"/>
  <c r="D75" i="3" s="1"/>
  <c r="O83" i="3" l="1"/>
  <c r="H83" i="3"/>
  <c r="F45" i="3"/>
  <c r="E45" i="3"/>
  <c r="D45" i="3"/>
  <c r="G44" i="3"/>
  <c r="G43" i="3"/>
  <c r="P43" i="3" s="1"/>
  <c r="M58" i="3" s="1"/>
  <c r="M59" i="3" s="1"/>
  <c r="M60" i="3" s="1"/>
  <c r="M61" i="3" s="1"/>
  <c r="M62" i="3" s="1"/>
  <c r="M63" i="3" s="1"/>
  <c r="M64" i="3" s="1"/>
  <c r="Q43" i="3" s="1"/>
  <c r="G42" i="3"/>
  <c r="G41" i="3"/>
  <c r="D58" i="3" s="1"/>
  <c r="D59" i="3" s="1"/>
  <c r="D60" i="3" s="1"/>
  <c r="D61" i="3" s="1"/>
  <c r="D62" i="3" s="1"/>
  <c r="D63" i="3" s="1"/>
  <c r="D64" i="3" s="1"/>
  <c r="H41" i="3" s="1"/>
  <c r="I41" i="3" s="1"/>
  <c r="G40" i="3"/>
  <c r="J41" i="3" l="1"/>
  <c r="K41" i="3" s="1"/>
  <c r="F58" i="3"/>
  <c r="F59" i="3" s="1"/>
  <c r="F60" i="3" s="1"/>
  <c r="F61" i="3" s="1"/>
  <c r="F62" i="3" s="1"/>
  <c r="F63" i="3" s="1"/>
  <c r="F64" i="3" s="1"/>
  <c r="H43" i="3" s="1"/>
  <c r="I43" i="3" s="1"/>
  <c r="G45" i="3"/>
  <c r="P41" i="3"/>
  <c r="K58" i="3" s="1"/>
  <c r="K59" i="3" s="1"/>
  <c r="K60" i="3" s="1"/>
  <c r="K61" i="3" s="1"/>
  <c r="K62" i="3" s="1"/>
  <c r="K63" i="3" s="1"/>
  <c r="K64" i="3" s="1"/>
  <c r="Q41" i="3" s="1"/>
  <c r="R41" i="3" s="1"/>
  <c r="R43" i="3"/>
  <c r="P40" i="3"/>
  <c r="P44" i="3"/>
  <c r="D50" i="3"/>
  <c r="D51" i="3" s="1"/>
  <c r="D52" i="3" s="1"/>
  <c r="D53" i="3" s="1"/>
  <c r="D54" i="3" s="1"/>
  <c r="D55" i="3" s="1"/>
  <c r="D56" i="3" s="1"/>
  <c r="H40" i="3" s="1"/>
  <c r="P42" i="3"/>
  <c r="F50" i="3"/>
  <c r="F51" i="3" s="1"/>
  <c r="F52" i="3" s="1"/>
  <c r="F53" i="3" s="1"/>
  <c r="F54" i="3" s="1"/>
  <c r="F55" i="3" s="1"/>
  <c r="F56" i="3" s="1"/>
  <c r="H42" i="3" s="1"/>
  <c r="I42" i="3" s="1"/>
  <c r="H50" i="3"/>
  <c r="H51" i="3" s="1"/>
  <c r="H52" i="3" s="1"/>
  <c r="H53" i="3" s="1"/>
  <c r="H54" i="3" s="1"/>
  <c r="H55" i="3" s="1"/>
  <c r="H56" i="3" s="1"/>
  <c r="H44" i="3" s="1"/>
  <c r="I44" i="3" s="1"/>
  <c r="S41" i="3" l="1"/>
  <c r="T41" i="3" s="1"/>
  <c r="S43" i="3"/>
  <c r="T43" i="3" s="1"/>
  <c r="J43" i="3"/>
  <c r="K43" i="3" s="1"/>
  <c r="J42" i="3"/>
  <c r="K42" i="3" s="1"/>
  <c r="J44" i="3"/>
  <c r="K44" i="3" s="1"/>
  <c r="H45" i="3"/>
  <c r="I40" i="3"/>
  <c r="J40" i="3" s="1"/>
  <c r="K40" i="3" s="1"/>
  <c r="M50" i="3"/>
  <c r="M51" i="3" s="1"/>
  <c r="M52" i="3" s="1"/>
  <c r="M53" i="3" s="1"/>
  <c r="M54" i="3" s="1"/>
  <c r="M55" i="3" s="1"/>
  <c r="M56" i="3" s="1"/>
  <c r="Q42" i="3" s="1"/>
  <c r="R42" i="3" s="1"/>
  <c r="O50" i="3"/>
  <c r="O51" i="3" s="1"/>
  <c r="O52" i="3" s="1"/>
  <c r="O53" i="3" s="1"/>
  <c r="O54" i="3" s="1"/>
  <c r="O55" i="3" s="1"/>
  <c r="O56" i="3" s="1"/>
  <c r="Q44" i="3" s="1"/>
  <c r="R44" i="3" s="1"/>
  <c r="P45" i="3"/>
  <c r="K50" i="3"/>
  <c r="K51" i="3" s="1"/>
  <c r="K52" i="3" s="1"/>
  <c r="K53" i="3" s="1"/>
  <c r="K54" i="3" s="1"/>
  <c r="K55" i="3" s="1"/>
  <c r="S44" i="3" l="1"/>
  <c r="T44" i="3" s="1"/>
  <c r="S42" i="3"/>
  <c r="T42" i="3" s="1"/>
  <c r="J45" i="3"/>
  <c r="K56" i="3"/>
  <c r="Q40" i="3" s="1"/>
  <c r="R40" i="3" s="1"/>
  <c r="O64" i="3"/>
  <c r="I45" i="3"/>
  <c r="Q45" i="3" l="1"/>
  <c r="R45" i="3" s="1"/>
  <c r="S40" i="3"/>
  <c r="S45" i="3" l="1"/>
  <c r="U41" i="3" l="1"/>
  <c r="T45" i="3"/>
  <c r="M41" i="3"/>
  <c r="K45" i="3"/>
  <c r="F5" i="3"/>
  <c r="R6" i="3"/>
  <c r="L6" i="3"/>
  <c r="J5" i="3"/>
  <c r="H5" i="3"/>
  <c r="P6" i="3"/>
  <c r="H6" i="3"/>
  <c r="R5" i="3"/>
  <c r="P4" i="3"/>
  <c r="P5" i="3"/>
  <c r="N5" i="3"/>
  <c r="N4" i="3"/>
  <c r="N6" i="3"/>
  <c r="L4" i="3"/>
  <c r="L5" i="3"/>
  <c r="H4" i="3"/>
  <c r="J4" i="3"/>
  <c r="J6" i="3"/>
  <c r="Q6" i="3"/>
  <c r="Q4" i="3"/>
  <c r="Q5" i="3"/>
  <c r="M5" i="3"/>
  <c r="M4" i="3"/>
  <c r="M6" i="3"/>
  <c r="G6" i="3"/>
  <c r="G4" i="3"/>
  <c r="G5" i="3"/>
  <c r="I5" i="3"/>
  <c r="I4" i="3"/>
  <c r="I6" i="3"/>
  <c r="V5" i="3"/>
  <c r="E5" i="3"/>
  <c r="U5" i="3" s="1"/>
  <c r="O6" i="3"/>
  <c r="O4" i="3"/>
  <c r="O5" i="3"/>
  <c r="E6" i="3"/>
  <c r="U6" i="3" s="1"/>
  <c r="K6" i="3"/>
  <c r="K4" i="3"/>
  <c r="K5" i="3"/>
  <c r="F6" i="3"/>
  <c r="R4" i="3"/>
  <c r="V4" i="3"/>
  <c r="F4" i="3"/>
  <c r="T4" i="3" s="1"/>
  <c r="E4" i="3"/>
  <c r="B8" i="4" l="1"/>
  <c r="U9" i="3"/>
  <c r="T6" i="3"/>
  <c r="S6" i="3"/>
  <c r="S5" i="3"/>
  <c r="T5" i="3"/>
  <c r="T7" i="3" s="1"/>
  <c r="U4" i="3"/>
  <c r="U7" i="3" s="1"/>
  <c r="V6" i="3"/>
  <c r="V7" i="3" s="1"/>
  <c r="S4" i="3"/>
  <c r="S7" i="3" s="1"/>
  <c r="I16" i="3" l="1"/>
  <c r="G15" i="3"/>
  <c r="D15" i="3"/>
  <c r="H16" i="3"/>
  <c r="F16" i="3"/>
  <c r="C14" i="3"/>
  <c r="J16" i="3"/>
  <c r="I15" i="3"/>
  <c r="F15" i="3"/>
  <c r="I14" i="3"/>
  <c r="G16" i="3"/>
  <c r="H15" i="3"/>
  <c r="E14" i="3"/>
  <c r="D16" i="3"/>
  <c r="E16" i="3"/>
  <c r="G14" i="3"/>
  <c r="J14" i="3"/>
  <c r="J15" i="3"/>
  <c r="E15" i="3"/>
  <c r="C15" i="3"/>
  <c r="K15" i="3" s="1"/>
  <c r="F14" i="3"/>
  <c r="F23" i="3" s="1"/>
  <c r="H14" i="3"/>
  <c r="H23" i="3" s="1"/>
  <c r="C16" i="3"/>
  <c r="K16" i="3" s="1"/>
  <c r="D14" i="3"/>
  <c r="E8" i="4"/>
  <c r="B9" i="4" l="1"/>
  <c r="D9" i="4"/>
  <c r="I23" i="3"/>
  <c r="E23" i="3"/>
  <c r="J23" i="3"/>
  <c r="K14" i="3"/>
  <c r="K17" i="3" s="1"/>
  <c r="C23" i="3"/>
  <c r="K23" i="3" s="1"/>
  <c r="D23" i="3"/>
  <c r="G23" i="3"/>
  <c r="E9" i="4" l="1"/>
</calcChain>
</file>

<file path=xl/sharedStrings.xml><?xml version="1.0" encoding="utf-8"?>
<sst xmlns="http://schemas.openxmlformats.org/spreadsheetml/2006/main" count="292" uniqueCount="89">
  <si>
    <t>Funding Source</t>
  </si>
  <si>
    <t>Funding Amount</t>
  </si>
  <si>
    <t>Other Federal Funds:</t>
  </si>
  <si>
    <t>Non-Federal Funds:</t>
  </si>
  <si>
    <t>BIP Funds:</t>
  </si>
  <si>
    <t>Town Farm Road Bridge</t>
  </si>
  <si>
    <t>Trafton Road Bridge</t>
  </si>
  <si>
    <t>Drummond Road Bridge</t>
  </si>
  <si>
    <t>Dinsmore Road Bridge</t>
  </si>
  <si>
    <t>MaineDOT:</t>
  </si>
  <si>
    <t>PE</t>
  </si>
  <si>
    <t>ROW</t>
  </si>
  <si>
    <t>CON</t>
  </si>
  <si>
    <t>CE</t>
  </si>
  <si>
    <t xml:space="preserve">base </t>
  </si>
  <si>
    <t>year1</t>
  </si>
  <si>
    <t>year2</t>
  </si>
  <si>
    <t>year3</t>
  </si>
  <si>
    <t>Non-Federal Funds</t>
  </si>
  <si>
    <t>Total:</t>
  </si>
  <si>
    <t>Percentage Amount</t>
  </si>
  <si>
    <t>*******************************************************************************************************************************************</t>
  </si>
  <si>
    <t>Total Costs:</t>
  </si>
  <si>
    <r>
      <rPr>
        <b/>
        <sz val="11"/>
        <color theme="1"/>
        <rFont val="Calibri"/>
        <family val="2"/>
        <scheme val="minor"/>
      </rPr>
      <t xml:space="preserve">Previously Incurred Project Engineering: </t>
    </r>
    <r>
      <rPr>
        <sz val="11"/>
        <color theme="1"/>
        <rFont val="Calibri"/>
        <family val="2"/>
        <scheme val="minor"/>
      </rPr>
      <t xml:space="preserve">factored into </t>
    </r>
    <r>
      <rPr>
        <i/>
        <sz val="11"/>
        <color theme="1"/>
        <rFont val="Calibri"/>
        <family val="2"/>
        <scheme val="minor"/>
      </rPr>
      <t>Grand Total Budget</t>
    </r>
    <r>
      <rPr>
        <sz val="11"/>
        <color theme="1"/>
        <rFont val="Calibri"/>
        <family val="2"/>
        <scheme val="minor"/>
      </rPr>
      <t xml:space="preserve"> but not into </t>
    </r>
    <r>
      <rPr>
        <i/>
        <sz val="11"/>
        <color theme="1"/>
        <rFont val="Calibri"/>
        <family val="2"/>
        <scheme val="minor"/>
      </rPr>
      <t>Project Budget</t>
    </r>
  </si>
  <si>
    <r>
      <t xml:space="preserve">Funding Source by Component in Dollars - </t>
    </r>
    <r>
      <rPr>
        <b/>
        <i/>
        <sz val="11"/>
        <color theme="1"/>
        <rFont val="Calibri"/>
        <family val="2"/>
        <scheme val="minor"/>
      </rPr>
      <t>Project Budget</t>
    </r>
    <r>
      <rPr>
        <b/>
        <sz val="11"/>
        <color theme="1"/>
        <rFont val="Calibri"/>
        <family val="2"/>
        <scheme val="minor"/>
      </rPr>
      <t xml:space="preserve"> &amp; </t>
    </r>
    <r>
      <rPr>
        <b/>
        <i/>
        <sz val="11"/>
        <color theme="1"/>
        <rFont val="Calibri"/>
        <family val="2"/>
        <scheme val="minor"/>
      </rPr>
      <t>Grand Total Budget elements</t>
    </r>
  </si>
  <si>
    <r>
      <rPr>
        <b/>
        <sz val="11"/>
        <color theme="1"/>
        <rFont val="Calibri"/>
        <family val="2"/>
        <scheme val="minor"/>
      </rPr>
      <t>Previously Incurred Right-of-Way</t>
    </r>
    <r>
      <rPr>
        <sz val="11"/>
        <color theme="1"/>
        <rFont val="Calibri"/>
        <family val="2"/>
        <scheme val="minor"/>
      </rPr>
      <t xml:space="preserve">: factored into </t>
    </r>
    <r>
      <rPr>
        <i/>
        <sz val="11"/>
        <color theme="1"/>
        <rFont val="Calibri"/>
        <family val="2"/>
        <scheme val="minor"/>
      </rPr>
      <t>Grand Total Budget</t>
    </r>
    <r>
      <rPr>
        <sz val="11"/>
        <color theme="1"/>
        <rFont val="Calibri"/>
        <family val="2"/>
        <scheme val="minor"/>
      </rPr>
      <t xml:space="preserve"> but not into </t>
    </r>
    <r>
      <rPr>
        <i/>
        <sz val="11"/>
        <color theme="1"/>
        <rFont val="Calibri"/>
        <family val="2"/>
        <scheme val="minor"/>
      </rPr>
      <t>Project Budget</t>
    </r>
  </si>
  <si>
    <r>
      <t xml:space="preserve">Percent of </t>
    </r>
    <r>
      <rPr>
        <b/>
        <i/>
        <sz val="11"/>
        <color theme="1"/>
        <rFont val="Calibri"/>
        <family val="2"/>
        <scheme val="minor"/>
      </rPr>
      <t>Project Budget</t>
    </r>
  </si>
  <si>
    <t>Bundled</t>
  </si>
  <si>
    <t>Unbundled</t>
  </si>
  <si>
    <t>15% Contingency</t>
  </si>
  <si>
    <t xml:space="preserve">Total: </t>
  </si>
  <si>
    <t>year4</t>
  </si>
  <si>
    <t>year5</t>
  </si>
  <si>
    <t>CON &amp; CE TOTAL UNBUNDLED</t>
  </si>
  <si>
    <t>BUNDLED Inflation Formula check</t>
  </si>
  <si>
    <t>UNBUNDLED Inflation Formula check</t>
  </si>
  <si>
    <t>Unbundled Inflation over 5 years</t>
  </si>
  <si>
    <t>Unbundled Total CON,CE, Inflation</t>
  </si>
  <si>
    <t>Bundled Inflation over 5 years</t>
  </si>
  <si>
    <t>Bundled Total CON,CE, Inflation</t>
  </si>
  <si>
    <t>CON &amp; CE TOTAL BUNDLED</t>
  </si>
  <si>
    <t>Lyons Road Bridges</t>
  </si>
  <si>
    <t>BIP REQUEST</t>
  </si>
  <si>
    <t>Funding Source by Component in Percentages - used for Match Funding Request</t>
  </si>
  <si>
    <t>Total Percentage</t>
  </si>
  <si>
    <t>BIP</t>
  </si>
  <si>
    <t>Other Federal</t>
  </si>
  <si>
    <t>MaineDOT</t>
  </si>
  <si>
    <t>Trafton Road Bridge (#5812) - Construction, CE, 3% Inflation (Over 5 years)</t>
  </si>
  <si>
    <t>Town Farm Road Bridge (#5785) - Construction, CE, 3% Inflation (Over 5 years)</t>
  </si>
  <si>
    <t>Drummond Road Bridge (#5784) - Construction, CE, 3% Inflation (Over 5 years)</t>
  </si>
  <si>
    <r>
      <t xml:space="preserve">Lyons Road Bridges NB (#5783) &amp; SB (#1463) - Construction, CE, 3% Inflation (Over 5 years)
</t>
    </r>
    <r>
      <rPr>
        <i/>
        <sz val="10"/>
        <color theme="1"/>
        <rFont val="Calibri"/>
        <family val="2"/>
        <scheme val="minor"/>
      </rPr>
      <t>Total reflects equal costs for both structures</t>
    </r>
  </si>
  <si>
    <t>Dinsmore Road Bridge (#5782) - Construction, CE, 3% Inflation (Over 5 years)</t>
  </si>
  <si>
    <t>Lyons Road Bridge NB and SB</t>
  </si>
  <si>
    <r>
      <t xml:space="preserve">Percentages of </t>
    </r>
    <r>
      <rPr>
        <b/>
        <i/>
        <sz val="11"/>
        <color theme="1"/>
        <rFont val="Calibri"/>
        <family val="2"/>
        <scheme val="minor"/>
      </rPr>
      <t>Grant</t>
    </r>
    <r>
      <rPr>
        <b/>
        <sz val="11"/>
        <color theme="1"/>
        <rFont val="Calibri"/>
        <family val="2"/>
        <scheme val="minor"/>
      </rPr>
      <t xml:space="preserve"> Project Costs per funding source</t>
    </r>
  </si>
  <si>
    <t>Costs</t>
  </si>
  <si>
    <t>Totals</t>
  </si>
  <si>
    <t>Previously Incurred Preliminary Engineering (PE)</t>
  </si>
  <si>
    <t>Previously Incurred Right-of-Way (ROW)</t>
  </si>
  <si>
    <t>Preliminary Engineering</t>
  </si>
  <si>
    <t>Right-of-Way (ROW)</t>
  </si>
  <si>
    <t>Percentage of Project Totals (participating)</t>
  </si>
  <si>
    <t>BUNDLED Inflation Formula check - Construction</t>
  </si>
  <si>
    <t>BUNDLED Inflation Formula check - CE</t>
  </si>
  <si>
    <t>CON - -10%</t>
  </si>
  <si>
    <t>CE - -10%</t>
  </si>
  <si>
    <t>Total with inflation</t>
  </si>
  <si>
    <t>Contingency - 15%</t>
  </si>
  <si>
    <t>Unbundled Total Con, CE, Inflation, 15% Contingency</t>
  </si>
  <si>
    <t>Bundled Total Con, CE, Inflation, 15% Contingency</t>
  </si>
  <si>
    <t>Lyons total/2:</t>
  </si>
  <si>
    <t>Project Engineering</t>
  </si>
  <si>
    <t>Right-of-Way</t>
  </si>
  <si>
    <r>
      <rPr>
        <i/>
        <sz val="10"/>
        <color theme="1"/>
        <rFont val="Calibri"/>
        <family val="2"/>
        <scheme val="minor"/>
      </rPr>
      <t>Grand Total Budget</t>
    </r>
    <r>
      <rPr>
        <sz val="10"/>
        <color theme="1"/>
        <rFont val="Calibri"/>
        <family val="2"/>
        <scheme val="minor"/>
      </rPr>
      <t xml:space="preserve">: includes Previously Incurred Expenses as well as Eligible Project Costs
</t>
    </r>
    <r>
      <rPr>
        <b/>
        <sz val="10"/>
        <color theme="1"/>
        <rFont val="Calibri"/>
        <family val="2"/>
        <scheme val="minor"/>
      </rPr>
      <t>Unbundled</t>
    </r>
  </si>
  <si>
    <r>
      <rPr>
        <i/>
        <sz val="10"/>
        <color theme="1"/>
        <rFont val="Calibri"/>
        <family val="2"/>
        <scheme val="minor"/>
      </rPr>
      <t>Grand Total Budget</t>
    </r>
    <r>
      <rPr>
        <sz val="10"/>
        <color theme="1"/>
        <rFont val="Calibri"/>
        <family val="2"/>
        <scheme val="minor"/>
      </rPr>
      <t>: includes Previously Incurred Expenses as well as Eligible Project Costs;</t>
    </r>
    <r>
      <rPr>
        <i/>
        <sz val="10"/>
        <color theme="1"/>
        <rFont val="Calibri"/>
        <family val="2"/>
        <scheme val="minor"/>
      </rPr>
      <t xml:space="preserve"> includes </t>
    </r>
    <r>
      <rPr>
        <sz val="10"/>
        <color theme="1"/>
        <rFont val="Calibri"/>
        <family val="2"/>
        <scheme val="minor"/>
      </rPr>
      <t>10% discount for Bridge Bundling</t>
    </r>
  </si>
  <si>
    <r>
      <rPr>
        <b/>
        <sz val="10"/>
        <color theme="1"/>
        <rFont val="Calibri"/>
        <family val="2"/>
        <scheme val="minor"/>
      </rPr>
      <t xml:space="preserve">Project Budget:
</t>
    </r>
    <r>
      <rPr>
        <sz val="10"/>
        <color theme="1"/>
        <rFont val="Calibri"/>
        <family val="2"/>
        <scheme val="minor"/>
      </rPr>
      <t xml:space="preserve">includes all Eligible Costs for Grant Request
</t>
    </r>
    <r>
      <rPr>
        <b/>
        <sz val="10"/>
        <color theme="1"/>
        <rFont val="Calibri"/>
        <family val="2"/>
        <scheme val="minor"/>
      </rPr>
      <t>Unbundled</t>
    </r>
  </si>
  <si>
    <r>
      <rPr>
        <b/>
        <sz val="10"/>
        <color theme="1"/>
        <rFont val="Calibri"/>
        <family val="2"/>
        <scheme val="minor"/>
      </rPr>
      <t xml:space="preserve">Project Budget:
</t>
    </r>
    <r>
      <rPr>
        <sz val="10"/>
        <color theme="1"/>
        <rFont val="Calibri"/>
        <family val="2"/>
        <scheme val="minor"/>
      </rPr>
      <t>includes all Eligible Costs for Grant Request</t>
    </r>
    <r>
      <rPr>
        <i/>
        <sz val="10"/>
        <color theme="1"/>
        <rFont val="Calibri"/>
        <family val="2"/>
        <scheme val="minor"/>
      </rPr>
      <t xml:space="preserve"> includes </t>
    </r>
    <r>
      <rPr>
        <sz val="10"/>
        <color theme="1"/>
        <rFont val="Calibri"/>
        <family val="2"/>
        <scheme val="minor"/>
      </rPr>
      <t>10% discount for Bridge Bundling</t>
    </r>
  </si>
  <si>
    <t>Bundled Total Con, CE, Inflation, 15%Contig., PE/ROW</t>
  </si>
  <si>
    <t>Unbundled Total Con, CE, Inflation, 15%Contig., +PE/ROW</t>
  </si>
  <si>
    <t>Total with previously incurred</t>
  </si>
  <si>
    <t>Previously Incurred Costs (PE &amp; ROW) - Factored into Grand Total Budget, but not Project Budget</t>
  </si>
  <si>
    <t>Percent of Project Budget - Used for Match Funding Request</t>
  </si>
  <si>
    <t>Construction (CON) &amp; Construction Engineering (CE) - Includes 3% inflation</t>
  </si>
  <si>
    <t>Lyons - 1463 and 5783</t>
  </si>
  <si>
    <t>Drummond - 5784</t>
  </si>
  <si>
    <t>Dinsmore - 5782</t>
  </si>
  <si>
    <t>Trafton - 5812</t>
  </si>
  <si>
    <t>Town Farm - 5785</t>
  </si>
  <si>
    <t>MaineDOT match is 20%, previously incurred costs are an additional 1.3% of total project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</si>
</sst>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_);_(&quot;$&quot;* \(#,##0.0\);_(&quot;$&quot;* &quot;-&quot;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78">
    <xf numFmtId="0" fontId="0" fillId="0" borderId="0" xfId="0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44" fontId="0" fillId="0" borderId="2" xfId="0" applyNumberFormat="1" applyBorder="1"/>
    <xf numFmtId="164" fontId="1" fillId="0" borderId="2" xfId="1" applyNumberFormat="1" applyFont="1" applyFill="1" applyBorder="1" applyAlignment="1">
      <alignment horizontal="right"/>
    </xf>
    <xf numFmtId="44" fontId="1" fillId="0" borderId="0" xfId="1" applyFont="1" applyFill="1" applyBorder="1"/>
    <xf numFmtId="44" fontId="2" fillId="0" borderId="0" xfId="1" applyFont="1" applyFill="1" applyBorder="1"/>
    <xf numFmtId="44" fontId="1" fillId="0" borderId="2" xfId="1" applyFont="1" applyFill="1" applyBorder="1"/>
    <xf numFmtId="164" fontId="0" fillId="0" borderId="0" xfId="1" applyNumberFormat="1" applyFont="1"/>
    <xf numFmtId="44" fontId="0" fillId="0" borderId="0" xfId="0" applyNumberFormat="1"/>
    <xf numFmtId="164" fontId="0" fillId="0" borderId="6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5" xfId="0" applyNumberFormat="1" applyBorder="1"/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right"/>
    </xf>
    <xf numFmtId="0" fontId="2" fillId="0" borderId="10" xfId="0" applyFont="1" applyBorder="1" applyAlignment="1">
      <alignment horizontal="right"/>
    </xf>
    <xf numFmtId="0" fontId="0" fillId="0" borderId="0" xfId="0" applyAlignment="1">
      <alignment vertical="center" wrapText="1"/>
    </xf>
    <xf numFmtId="164" fontId="2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9" fontId="0" fillId="0" borderId="0" xfId="2" applyFont="1"/>
    <xf numFmtId="9" fontId="0" fillId="0" borderId="0" xfId="2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164" fontId="1" fillId="0" borderId="0" xfId="1" applyNumberFormat="1" applyFont="1" applyFill="1" applyBorder="1" applyAlignment="1">
      <alignment horizontal="right"/>
    </xf>
    <xf numFmtId="0" fontId="6" fillId="0" borderId="0" xfId="0" applyFont="1"/>
    <xf numFmtId="164" fontId="0" fillId="0" borderId="10" xfId="1" applyNumberFormat="1" applyFont="1" applyFill="1" applyBorder="1" applyAlignment="1">
      <alignment horizontal="right"/>
    </xf>
    <xf numFmtId="9" fontId="0" fillId="0" borderId="0" xfId="0" applyNumberFormat="1"/>
    <xf numFmtId="164" fontId="0" fillId="0" borderId="11" xfId="0" applyNumberFormat="1" applyBorder="1"/>
    <xf numFmtId="164" fontId="0" fillId="0" borderId="3" xfId="0" applyNumberFormat="1" applyBorder="1"/>
    <xf numFmtId="9" fontId="2" fillId="0" borderId="0" xfId="2" applyFont="1" applyFill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3" fillId="2" borderId="10" xfId="0" applyFont="1" applyFill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right"/>
    </xf>
    <xf numFmtId="9" fontId="2" fillId="0" borderId="10" xfId="2" quotePrefix="1" applyFont="1" applyBorder="1" applyAlignment="1">
      <alignment horizontal="center"/>
    </xf>
    <xf numFmtId="164" fontId="0" fillId="0" borderId="0" xfId="1" applyNumberFormat="1" applyFont="1" applyBorder="1"/>
    <xf numFmtId="164" fontId="6" fillId="0" borderId="0" xfId="1" applyNumberFormat="1" applyFont="1" applyFill="1" applyBorder="1" applyAlignme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9" fontId="0" fillId="0" borderId="10" xfId="2" quotePrefix="1" applyFont="1" applyBorder="1" applyAlignment="1">
      <alignment horizontal="center"/>
    </xf>
    <xf numFmtId="0" fontId="12" fillId="0" borderId="0" xfId="3"/>
    <xf numFmtId="0" fontId="0" fillId="0" borderId="15" xfId="0" applyBorder="1" applyAlignment="1">
      <alignment horizontal="center"/>
    </xf>
    <xf numFmtId="164" fontId="0" fillId="0" borderId="10" xfId="0" applyNumberFormat="1" applyBorder="1"/>
    <xf numFmtId="165" fontId="0" fillId="0" borderId="10" xfId="2" applyNumberFormat="1" applyFont="1" applyFill="1" applyBorder="1" applyAlignment="1">
      <alignment horizontal="right"/>
    </xf>
    <xf numFmtId="164" fontId="0" fillId="0" borderId="12" xfId="1" applyNumberFormat="1" applyFont="1" applyFill="1" applyBorder="1" applyAlignment="1">
      <alignment horizontal="right"/>
    </xf>
    <xf numFmtId="164" fontId="0" fillId="0" borderId="16" xfId="0" applyNumberFormat="1" applyBorder="1"/>
    <xf numFmtId="164" fontId="0" fillId="0" borderId="12" xfId="0" applyNumberFormat="1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0" applyNumberFormat="1" applyFont="1"/>
    <xf numFmtId="44" fontId="3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4" fontId="0" fillId="3" borderId="10" xfId="1" applyNumberFormat="1" applyFont="1" applyFill="1" applyBorder="1"/>
    <xf numFmtId="0" fontId="0" fillId="0" borderId="10" xfId="0" applyBorder="1"/>
    <xf numFmtId="164" fontId="0" fillId="0" borderId="10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0" fillId="0" borderId="10" xfId="0" applyNumberFormat="1" applyBorder="1"/>
    <xf numFmtId="0" fontId="2" fillId="5" borderId="10" xfId="0" applyFont="1" applyFill="1" applyBorder="1" applyAlignment="1">
      <alignment horizontal="right"/>
    </xf>
    <xf numFmtId="164" fontId="2" fillId="3" borderId="0" xfId="0" applyNumberFormat="1" applyFont="1" applyFill="1"/>
    <xf numFmtId="44" fontId="2" fillId="5" borderId="11" xfId="0" applyNumberFormat="1" applyFont="1" applyFill="1" applyBorder="1" applyAlignment="1">
      <alignment horizontal="center"/>
    </xf>
    <xf numFmtId="44" fontId="2" fillId="5" borderId="11" xfId="0" applyNumberFormat="1" applyFont="1" applyFill="1" applyBorder="1"/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0" borderId="19" xfId="1" applyNumberFormat="1" applyFont="1" applyBorder="1"/>
    <xf numFmtId="164" fontId="0" fillId="3" borderId="12" xfId="1" applyNumberFormat="1" applyFont="1" applyFill="1" applyBorder="1"/>
    <xf numFmtId="164" fontId="0" fillId="0" borderId="4" xfId="0" applyNumberFormat="1" applyBorder="1"/>
    <xf numFmtId="164" fontId="2" fillId="3" borderId="10" xfId="1" applyNumberFormat="1" applyFont="1" applyFill="1" applyBorder="1"/>
    <xf numFmtId="164" fontId="2" fillId="3" borderId="12" xfId="1" applyNumberFormat="1" applyFont="1" applyFill="1" applyBorder="1"/>
    <xf numFmtId="44" fontId="0" fillId="0" borderId="20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66" fontId="0" fillId="0" borderId="0" xfId="0" applyNumberFormat="1"/>
    <xf numFmtId="166" fontId="0" fillId="0" borderId="21" xfId="0" applyNumberFormat="1" applyBorder="1"/>
    <xf numFmtId="0" fontId="2" fillId="6" borderId="0" xfId="0" applyFont="1" applyFill="1" applyAlignment="1">
      <alignment horizontal="center" vertical="center" wrapText="1"/>
    </xf>
    <xf numFmtId="44" fontId="0" fillId="6" borderId="0" xfId="0" applyNumberFormat="1" applyFill="1"/>
    <xf numFmtId="164" fontId="0" fillId="6" borderId="0" xfId="0" applyNumberFormat="1" applyFill="1"/>
    <xf numFmtId="44" fontId="0" fillId="6" borderId="22" xfId="0" applyNumberFormat="1" applyFill="1" applyBorder="1"/>
    <xf numFmtId="164" fontId="0" fillId="6" borderId="17" xfId="0" applyNumberFormat="1" applyFill="1" applyBorder="1"/>
    <xf numFmtId="44" fontId="0" fillId="0" borderId="0" xfId="1" applyFont="1"/>
    <xf numFmtId="0" fontId="3" fillId="0" borderId="10" xfId="0" applyFont="1" applyBorder="1" applyAlignment="1">
      <alignment horizontal="center"/>
    </xf>
    <xf numFmtId="164" fontId="2" fillId="0" borderId="14" xfId="2" applyNumberFormat="1" applyFont="1" applyFill="1" applyBorder="1"/>
    <xf numFmtId="0" fontId="2" fillId="2" borderId="10" xfId="0" applyFont="1" applyFill="1" applyBorder="1" applyAlignment="1">
      <alignment horizontal="center"/>
    </xf>
    <xf numFmtId="164" fontId="2" fillId="2" borderId="10" xfId="1" applyNumberFormat="1" applyFont="1" applyFill="1" applyBorder="1" applyAlignment="1">
      <alignment horizontal="right"/>
    </xf>
    <xf numFmtId="9" fontId="2" fillId="0" borderId="10" xfId="0" applyNumberFormat="1" applyFont="1" applyBorder="1" applyAlignment="1">
      <alignment horizontal="center"/>
    </xf>
    <xf numFmtId="0" fontId="0" fillId="0" borderId="25" xfId="0" applyBorder="1" applyAlignment="1">
      <alignment wrapText="1"/>
    </xf>
    <xf numFmtId="0" fontId="5" fillId="0" borderId="26" xfId="0" applyFont="1" applyBorder="1" applyAlignment="1">
      <alignment horizontal="center" wrapText="1"/>
    </xf>
    <xf numFmtId="9" fontId="0" fillId="0" borderId="26" xfId="2" applyFont="1" applyBorder="1" applyAlignment="1">
      <alignment wrapText="1"/>
    </xf>
    <xf numFmtId="0" fontId="0" fillId="0" borderId="4" xfId="0" applyBorder="1" applyAlignment="1">
      <alignment wrapText="1"/>
    </xf>
    <xf numFmtId="9" fontId="0" fillId="0" borderId="5" xfId="2" applyFont="1" applyBorder="1" applyAlignment="1">
      <alignment wrapText="1"/>
    </xf>
    <xf numFmtId="0" fontId="0" fillId="0" borderId="27" xfId="0" applyBorder="1" applyAlignment="1">
      <alignment horizontal="left"/>
    </xf>
    <xf numFmtId="164" fontId="0" fillId="0" borderId="11" xfId="1" applyNumberFormat="1" applyFont="1" applyBorder="1" applyAlignment="1">
      <alignment horizontal="left"/>
    </xf>
    <xf numFmtId="0" fontId="0" fillId="2" borderId="6" xfId="0" applyFill="1" applyBorder="1" applyAlignment="1">
      <alignment horizontal="left"/>
    </xf>
    <xf numFmtId="164" fontId="0" fillId="2" borderId="7" xfId="1" applyNumberFormat="1" applyFont="1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164" fontId="0" fillId="2" borderId="30" xfId="1" applyNumberFormat="1" applyFont="1" applyFill="1" applyBorder="1" applyAlignment="1">
      <alignment horizontal="left"/>
    </xf>
    <xf numFmtId="164" fontId="0" fillId="2" borderId="31" xfId="1" applyNumberFormat="1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44" fontId="0" fillId="2" borderId="28" xfId="1" applyFont="1" applyFill="1" applyBorder="1" applyAlignment="1">
      <alignment horizontal="left"/>
    </xf>
    <xf numFmtId="164" fontId="0" fillId="0" borderId="0" xfId="0" applyNumberFormat="1" applyAlignment="1">
      <alignment horizontal="left"/>
    </xf>
    <xf numFmtId="9" fontId="0" fillId="0" borderId="10" xfId="0" applyNumberForma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0" fillId="0" borderId="12" xfId="0" applyBorder="1" applyAlignment="1">
      <alignment horizontal="left"/>
    </xf>
    <xf numFmtId="164" fontId="0" fillId="0" borderId="12" xfId="1" applyNumberFormat="1" applyFont="1" applyBorder="1" applyAlignment="1">
      <alignment horizontal="left"/>
    </xf>
    <xf numFmtId="164" fontId="2" fillId="0" borderId="11" xfId="1" applyNumberFormat="1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3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164" fontId="0" fillId="6" borderId="0" xfId="1" applyNumberFormat="1" applyFont="1" applyFill="1"/>
    <xf numFmtId="0" fontId="0" fillId="0" borderId="0" xfId="0" applyAlignment="1">
      <alignment wrapText="1"/>
    </xf>
    <xf numFmtId="164" fontId="2" fillId="0" borderId="0" xfId="0" applyNumberFormat="1" applyFont="1"/>
    <xf numFmtId="164" fontId="0" fillId="6" borderId="17" xfId="1" applyNumberFormat="1" applyFont="1" applyFill="1" applyBorder="1"/>
    <xf numFmtId="0" fontId="2" fillId="0" borderId="32" xfId="0" applyFont="1" applyBorder="1" applyAlignment="1">
      <alignment horizontal="center" vertical="center"/>
    </xf>
    <xf numFmtId="166" fontId="0" fillId="0" borderId="32" xfId="0" applyNumberFormat="1" applyBorder="1"/>
    <xf numFmtId="0" fontId="2" fillId="3" borderId="0" xfId="0" applyFont="1" applyFill="1" applyAlignment="1">
      <alignment wrapText="1"/>
    </xf>
    <xf numFmtId="42" fontId="13" fillId="0" borderId="0" xfId="0" applyNumberFormat="1" applyFont="1"/>
    <xf numFmtId="164" fontId="13" fillId="0" borderId="0" xfId="0" applyNumberFormat="1" applyFont="1"/>
    <xf numFmtId="0" fontId="0" fillId="0" borderId="10" xfId="0" applyBorder="1" applyAlignment="1">
      <alignment horizontal="center" vertical="center" wrapText="1"/>
    </xf>
    <xf numFmtId="164" fontId="0" fillId="0" borderId="12" xfId="1" quotePrefix="1" applyNumberFormat="1" applyFont="1" applyFill="1" applyBorder="1" applyAlignment="1">
      <alignment horizontal="center"/>
    </xf>
    <xf numFmtId="164" fontId="0" fillId="0" borderId="11" xfId="0" applyNumberFormat="1" applyBorder="1" applyAlignment="1">
      <alignment horizontal="right"/>
    </xf>
    <xf numFmtId="164" fontId="0" fillId="0" borderId="10" xfId="1" quotePrefix="1" applyNumberFormat="1" applyFont="1" applyFill="1" applyBorder="1" applyAlignment="1">
      <alignment horizontal="center"/>
    </xf>
    <xf numFmtId="164" fontId="0" fillId="2" borderId="10" xfId="0" applyNumberFormat="1" applyFill="1" applyBorder="1"/>
    <xf numFmtId="164" fontId="0" fillId="2" borderId="11" xfId="0" applyNumberFormat="1" applyFill="1" applyBorder="1"/>
    <xf numFmtId="9" fontId="0" fillId="0" borderId="10" xfId="2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/>
    </xf>
    <xf numFmtId="165" fontId="0" fillId="0" borderId="10" xfId="2" applyNumberFormat="1" applyFont="1" applyFill="1" applyBorder="1"/>
    <xf numFmtId="0" fontId="3" fillId="7" borderId="10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/>
    </xf>
    <xf numFmtId="164" fontId="0" fillId="7" borderId="10" xfId="1" applyNumberFormat="1" applyFont="1" applyFill="1" applyBorder="1" applyAlignment="1">
      <alignment horizontal="right"/>
    </xf>
    <xf numFmtId="164" fontId="0" fillId="7" borderId="11" xfId="1" applyNumberFormat="1" applyFont="1" applyFill="1" applyBorder="1" applyAlignment="1">
      <alignment horizontal="right"/>
    </xf>
    <xf numFmtId="0" fontId="0" fillId="7" borderId="10" xfId="0" applyFill="1" applyBorder="1" applyAlignment="1">
      <alignment horizontal="center" vertical="center" wrapText="1"/>
    </xf>
    <xf numFmtId="44" fontId="0" fillId="7" borderId="10" xfId="1" quotePrefix="1" applyFont="1" applyFill="1" applyBorder="1" applyAlignment="1">
      <alignment horizontal="center"/>
    </xf>
    <xf numFmtId="164" fontId="0" fillId="7" borderId="12" xfId="1" quotePrefix="1" applyNumberFormat="1" applyFont="1" applyFill="1" applyBorder="1" applyAlignment="1">
      <alignment horizontal="center"/>
    </xf>
    <xf numFmtId="164" fontId="0" fillId="7" borderId="11" xfId="0" applyNumberFormat="1" applyFill="1" applyBorder="1" applyAlignment="1">
      <alignment horizontal="right"/>
    </xf>
    <xf numFmtId="165" fontId="3" fillId="0" borderId="10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4" fontId="1" fillId="0" borderId="0" xfId="1" applyNumberFormat="1" applyFont="1" applyFill="1" applyBorder="1"/>
    <xf numFmtId="164" fontId="0" fillId="7" borderId="10" xfId="1" quotePrefix="1" applyNumberFormat="1" applyFont="1" applyFill="1" applyBorder="1" applyAlignment="1">
      <alignment horizontal="center"/>
    </xf>
    <xf numFmtId="164" fontId="0" fillId="3" borderId="10" xfId="0" applyNumberFormat="1" applyFill="1" applyBorder="1"/>
    <xf numFmtId="164" fontId="0" fillId="3" borderId="0" xfId="0" applyNumberFormat="1" applyFill="1"/>
    <xf numFmtId="164" fontId="0" fillId="3" borderId="12" xfId="0" applyNumberFormat="1" applyFill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28" xfId="1" applyNumberFormat="1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164" fontId="0" fillId="0" borderId="10" xfId="1" applyNumberFormat="1" applyFont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/>
    </xf>
    <xf numFmtId="10" fontId="2" fillId="0" borderId="0" xfId="2" applyNumberFormat="1" applyFont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164" fontId="0" fillId="0" borderId="10" xfId="0" applyNumberFormat="1" applyFill="1" applyBorder="1"/>
    <xf numFmtId="164" fontId="1" fillId="0" borderId="10" xfId="1" applyNumberFormat="1" applyFont="1" applyFill="1" applyBorder="1" applyAlignment="1">
      <alignment horizontal="right"/>
    </xf>
    <xf numFmtId="164" fontId="1" fillId="0" borderId="10" xfId="1" applyNumberFormat="1" applyFont="1" applyFill="1" applyBorder="1"/>
    <xf numFmtId="0" fontId="2" fillId="0" borderId="2" xfId="0" applyFont="1" applyFill="1" applyBorder="1" applyAlignment="1">
      <alignment horizontal="right"/>
    </xf>
    <xf numFmtId="44" fontId="0" fillId="0" borderId="2" xfId="0" applyNumberFormat="1" applyFill="1" applyBorder="1"/>
    <xf numFmtId="0" fontId="2" fillId="0" borderId="0" xfId="0" applyFont="1" applyFill="1" applyAlignment="1">
      <alignment horizontal="right"/>
    </xf>
    <xf numFmtId="164" fontId="0" fillId="0" borderId="0" xfId="0" applyNumberFormat="1" applyFill="1"/>
    <xf numFmtId="44" fontId="0" fillId="0" borderId="0" xfId="0" applyNumberFormat="1" applyFill="1"/>
    <xf numFmtId="0" fontId="2" fillId="6" borderId="0" xfId="0" applyFont="1" applyFill="1" applyAlignment="1">
      <alignment wrapText="1"/>
    </xf>
    <xf numFmtId="164" fontId="2" fillId="2" borderId="11" xfId="1" applyNumberFormat="1" applyFont="1" applyFill="1" applyBorder="1" applyAlignment="1">
      <alignment horizontal="right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6E412-AC8F-4D41-B02D-639B3B062F3A}">
  <sheetPr>
    <pageSetUpPr fitToPage="1"/>
  </sheetPr>
  <dimension ref="A1:W91"/>
  <sheetViews>
    <sheetView tabSelected="1" topLeftCell="B37" zoomScale="80" zoomScaleNormal="80" workbookViewId="0">
      <selection activeCell="D40" sqref="D40"/>
    </sheetView>
  </sheetViews>
  <sheetFormatPr defaultRowHeight="14.5" x14ac:dyDescent="0.35"/>
  <cols>
    <col min="1" max="1" width="5.1796875" customWidth="1"/>
    <col min="2" max="2" width="25.81640625" customWidth="1"/>
    <col min="3" max="21" width="18.1796875" customWidth="1"/>
    <col min="22" max="22" width="16.453125" bestFit="1" customWidth="1"/>
    <col min="23" max="24" width="15.1796875" bestFit="1" customWidth="1"/>
  </cols>
  <sheetData>
    <row r="1" spans="2:23" x14ac:dyDescent="0.35">
      <c r="B1" s="35" t="s">
        <v>24</v>
      </c>
      <c r="C1" s="35"/>
      <c r="D1" s="35"/>
      <c r="E1" s="35"/>
      <c r="F1" s="35"/>
      <c r="G1" s="40"/>
      <c r="H1" s="40"/>
      <c r="I1" s="35"/>
      <c r="J1" s="35"/>
      <c r="K1" s="35"/>
      <c r="L1" s="40"/>
    </row>
    <row r="2" spans="2:23" ht="91" x14ac:dyDescent="0.35">
      <c r="B2" s="17"/>
      <c r="C2" s="138" t="s">
        <v>23</v>
      </c>
      <c r="D2" s="138" t="s">
        <v>25</v>
      </c>
      <c r="E2" s="124" t="s">
        <v>71</v>
      </c>
      <c r="F2" s="124" t="s">
        <v>72</v>
      </c>
      <c r="G2" s="152" t="s">
        <v>48</v>
      </c>
      <c r="H2" s="153"/>
      <c r="I2" s="152" t="s">
        <v>49</v>
      </c>
      <c r="J2" s="153"/>
      <c r="K2" s="152" t="s">
        <v>50</v>
      </c>
      <c r="L2" s="153"/>
      <c r="M2" s="152" t="s">
        <v>51</v>
      </c>
      <c r="N2" s="153"/>
      <c r="O2" s="152" t="s">
        <v>52</v>
      </c>
      <c r="P2" s="153"/>
      <c r="Q2" s="152" t="s">
        <v>29</v>
      </c>
      <c r="R2" s="153"/>
      <c r="S2" s="134" t="s">
        <v>73</v>
      </c>
      <c r="T2" s="134" t="s">
        <v>74</v>
      </c>
      <c r="U2" s="41" t="s">
        <v>75</v>
      </c>
      <c r="V2" s="41" t="s">
        <v>76</v>
      </c>
    </row>
    <row r="3" spans="2:23" x14ac:dyDescent="0.35">
      <c r="B3" s="17" t="s">
        <v>0</v>
      </c>
      <c r="C3" s="135"/>
      <c r="D3" s="135"/>
      <c r="E3" s="17" t="s">
        <v>1</v>
      </c>
      <c r="F3" s="17" t="s">
        <v>1</v>
      </c>
      <c r="G3" s="17" t="s">
        <v>28</v>
      </c>
      <c r="H3" s="17" t="s">
        <v>27</v>
      </c>
      <c r="I3" s="17" t="s">
        <v>28</v>
      </c>
      <c r="J3" s="17" t="s">
        <v>27</v>
      </c>
      <c r="K3" s="17" t="s">
        <v>28</v>
      </c>
      <c r="L3" s="17" t="s">
        <v>27</v>
      </c>
      <c r="M3" s="17" t="s">
        <v>28</v>
      </c>
      <c r="N3" s="17" t="s">
        <v>27</v>
      </c>
      <c r="O3" s="17" t="s">
        <v>28</v>
      </c>
      <c r="P3" s="17" t="s">
        <v>27</v>
      </c>
      <c r="Q3" s="50" t="s">
        <v>28</v>
      </c>
      <c r="R3" s="17" t="s">
        <v>27</v>
      </c>
      <c r="S3" s="135" t="s">
        <v>1</v>
      </c>
      <c r="T3" s="135" t="s">
        <v>1</v>
      </c>
      <c r="U3" s="36" t="s">
        <v>1</v>
      </c>
      <c r="V3" s="89" t="s">
        <v>1</v>
      </c>
    </row>
    <row r="4" spans="2:23" x14ac:dyDescent="0.35">
      <c r="B4" s="19" t="s">
        <v>4</v>
      </c>
      <c r="C4" s="139">
        <v>0</v>
      </c>
      <c r="D4" s="139">
        <v>0</v>
      </c>
      <c r="E4" s="127">
        <f>$E$7*C89</f>
        <v>2000000</v>
      </c>
      <c r="F4" s="127">
        <f>$F$7*C89</f>
        <v>60000</v>
      </c>
      <c r="G4" s="30">
        <f>$G$7*C89</f>
        <v>17143345.010748398</v>
      </c>
      <c r="H4" s="30">
        <f>$H$7*C89</f>
        <v>15429010.509673564</v>
      </c>
      <c r="I4" s="30">
        <f>$I$7*C89</f>
        <v>10651410.194668403</v>
      </c>
      <c r="J4" s="30">
        <f>$J$7*C89</f>
        <v>9586269.1752015613</v>
      </c>
      <c r="K4" s="30">
        <f>$K$7*C89</f>
        <v>8796571.6757884007</v>
      </c>
      <c r="L4" s="30">
        <f>$L$7*C89</f>
        <v>7916914.508209561</v>
      </c>
      <c r="M4" s="30">
        <f>$M$7*C89</f>
        <v>18070764.270188402</v>
      </c>
      <c r="N4" s="30">
        <f>$N$7*C89</f>
        <v>16263687.843169564</v>
      </c>
      <c r="O4" s="30">
        <f>$O$7*C89</f>
        <v>10651410.194668403</v>
      </c>
      <c r="P4" s="30">
        <f>$P$7*C89</f>
        <v>9586269.1752015613</v>
      </c>
      <c r="Q4" s="33">
        <f>$Q$7*C89</f>
        <v>9797025.2019093018</v>
      </c>
      <c r="R4" s="51">
        <f>$R$7*C89</f>
        <v>8817322.6817183718</v>
      </c>
      <c r="S4" s="136">
        <f>SUM(C4:F4,G4,I4,K4,M4,O4,Q4)</f>
        <v>77170526.547971308</v>
      </c>
      <c r="T4" s="136">
        <f>SUM(C4,D4,E4,F4,H4,J4,L4,N4,P4,R4)</f>
        <v>69659473.893174171</v>
      </c>
      <c r="U4" s="128">
        <f>SUM(E4:F4,G4,I4,K4,M4,O4,Q4)</f>
        <v>77170526.547971308</v>
      </c>
      <c r="V4" s="90">
        <f>SUM(E4:F4,H4,J4,L4,N4,P4,R4)</f>
        <v>69659473.893174171</v>
      </c>
    </row>
    <row r="5" spans="2:23" x14ac:dyDescent="0.35">
      <c r="B5" s="19" t="s">
        <v>2</v>
      </c>
      <c r="C5" s="145">
        <v>800000</v>
      </c>
      <c r="D5" s="139">
        <v>0</v>
      </c>
      <c r="E5" s="127">
        <f t="shared" ref="E5:E6" si="0">$E$7*C90</f>
        <v>0</v>
      </c>
      <c r="F5" s="127">
        <f t="shared" ref="F5:F6" si="1">$F$7*C90</f>
        <v>0</v>
      </c>
      <c r="G5" s="30">
        <f>$G$7*C90</f>
        <v>0</v>
      </c>
      <c r="H5" s="30">
        <f>$H$7*C90</f>
        <v>0</v>
      </c>
      <c r="I5" s="30">
        <f>$I$7*C90</f>
        <v>0</v>
      </c>
      <c r="J5" s="30">
        <f>$J$7*C90</f>
        <v>0</v>
      </c>
      <c r="K5" s="30">
        <f>$K$7*C90</f>
        <v>0</v>
      </c>
      <c r="L5" s="30">
        <f>$L$7*C90</f>
        <v>0</v>
      </c>
      <c r="M5" s="30">
        <f>$M$7*C90</f>
        <v>0</v>
      </c>
      <c r="N5" s="30">
        <f>$N$7*C90</f>
        <v>0</v>
      </c>
      <c r="O5" s="30">
        <f>$O$7*C90</f>
        <v>0</v>
      </c>
      <c r="P5" s="30">
        <f>$P$7*C90</f>
        <v>0</v>
      </c>
      <c r="Q5" s="33">
        <f>$Q$7*C90</f>
        <v>0</v>
      </c>
      <c r="R5" s="51">
        <f>$R$7*C90</f>
        <v>0</v>
      </c>
      <c r="S5" s="136">
        <f t="shared" ref="S5:S6" si="2">SUM(C5:F5,G5,I5,K5,M5,O5,Q5)</f>
        <v>800000</v>
      </c>
      <c r="T5" s="136">
        <f t="shared" ref="T5:T6" si="3">SUM(C5,D5,E5,F5,H5,J5,L5,N5,P5,R5)</f>
        <v>800000</v>
      </c>
      <c r="U5" s="128">
        <f t="shared" ref="U5:U6" si="4">SUM(E5:F5,G5,I5,K5,M5,O5,Q5)</f>
        <v>0</v>
      </c>
      <c r="V5" s="90">
        <f t="shared" ref="V5:V6" si="5">SUM(E5:F5,H5,J5,L5,N5,P5,R5)</f>
        <v>0</v>
      </c>
    </row>
    <row r="6" spans="2:23" ht="15" thickBot="1" x14ac:dyDescent="0.4">
      <c r="B6" s="19" t="s">
        <v>3</v>
      </c>
      <c r="C6" s="140">
        <v>388341</v>
      </c>
      <c r="D6" s="140">
        <v>80</v>
      </c>
      <c r="E6" s="125">
        <f t="shared" si="0"/>
        <v>500000</v>
      </c>
      <c r="F6" s="125">
        <f t="shared" si="1"/>
        <v>15000</v>
      </c>
      <c r="G6" s="53">
        <f>$G$7*C91</f>
        <v>4285836.2526870994</v>
      </c>
      <c r="H6" s="53">
        <f>$H$7*C91</f>
        <v>3857252.6274183909</v>
      </c>
      <c r="I6" s="53">
        <f>$I$7*C91</f>
        <v>2662852.5486671007</v>
      </c>
      <c r="J6" s="53">
        <f>$J$7*C91</f>
        <v>2396567.2938003903</v>
      </c>
      <c r="K6" s="53">
        <f>$K$7*C91</f>
        <v>2199142.9189471002</v>
      </c>
      <c r="L6" s="53">
        <f>$L$7*C91</f>
        <v>1979228.6270523902</v>
      </c>
      <c r="M6" s="53">
        <f>$M$7*C91</f>
        <v>4517691.0675471006</v>
      </c>
      <c r="N6" s="53">
        <f>$N$7*C91</f>
        <v>4065921.9607923911</v>
      </c>
      <c r="O6" s="53">
        <f>$O$7*C91</f>
        <v>2662852.5486671007</v>
      </c>
      <c r="P6" s="53">
        <f>$P$7*C91</f>
        <v>2396567.2938003903</v>
      </c>
      <c r="Q6" s="54">
        <f>$Q$7*C91</f>
        <v>2449256.3004773255</v>
      </c>
      <c r="R6" s="55">
        <f>$R$7*C91</f>
        <v>2204330.670429593</v>
      </c>
      <c r="S6" s="136">
        <f t="shared" si="2"/>
        <v>19681052.636992827</v>
      </c>
      <c r="T6" s="136">
        <f t="shared" si="3"/>
        <v>17803289.473293543</v>
      </c>
      <c r="U6" s="128">
        <f t="shared" si="4"/>
        <v>19292631.636992827</v>
      </c>
      <c r="V6" s="90">
        <f t="shared" si="5"/>
        <v>17414868.473293543</v>
      </c>
      <c r="W6" s="86"/>
    </row>
    <row r="7" spans="2:23" ht="15" thickTop="1" x14ac:dyDescent="0.35">
      <c r="B7" s="20" t="s">
        <v>22</v>
      </c>
      <c r="C7" s="141">
        <f>SUM(C29:G29)</f>
        <v>1188421</v>
      </c>
      <c r="D7" s="141">
        <v>80</v>
      </c>
      <c r="E7" s="126">
        <f>C45</f>
        <v>2500000</v>
      </c>
      <c r="F7" s="126">
        <f>D45</f>
        <v>75000</v>
      </c>
      <c r="G7" s="32">
        <f>I43</f>
        <v>21429181.263435498</v>
      </c>
      <c r="H7" s="32">
        <f>R43</f>
        <v>19286263.137091953</v>
      </c>
      <c r="I7" s="32">
        <f>I44</f>
        <v>13314262.743335502</v>
      </c>
      <c r="J7" s="32">
        <f>R44</f>
        <v>11982836.469001951</v>
      </c>
      <c r="K7" s="32">
        <f>I41</f>
        <v>10995714.594735501</v>
      </c>
      <c r="L7" s="32">
        <f>R41</f>
        <v>9896143.135261951</v>
      </c>
      <c r="M7" s="32">
        <f>I40</f>
        <v>22588455.3377355</v>
      </c>
      <c r="N7" s="32">
        <f>R40</f>
        <v>20329609.803961955</v>
      </c>
      <c r="O7" s="32">
        <f>I42</f>
        <v>13314262.743335502</v>
      </c>
      <c r="P7" s="32">
        <f>R42</f>
        <v>11982836.469001951</v>
      </c>
      <c r="Q7" s="32">
        <f>(SUM(G7+I7+K7+M7+O7))*0.15</f>
        <v>12246281.502386626</v>
      </c>
      <c r="R7" s="33">
        <f>(SUM(H7+J7+L7+N7+P7))*0.15</f>
        <v>11021653.352147965</v>
      </c>
      <c r="S7" s="137">
        <f>SUM(S4:S6)</f>
        <v>97651579.184964135</v>
      </c>
      <c r="T7" s="137">
        <f>SUM(T4:T6)</f>
        <v>88262763.366467714</v>
      </c>
      <c r="U7" s="129">
        <f>SUM(U4:U6)</f>
        <v>96463158.184964135</v>
      </c>
      <c r="V7" s="177">
        <f>SUM(V4:V6)</f>
        <v>87074342.366467714</v>
      </c>
      <c r="W7" s="86"/>
    </row>
    <row r="8" spans="2:23" ht="15" thickBot="1" x14ac:dyDescent="0.4">
      <c r="B8" s="3"/>
      <c r="C8" s="3"/>
      <c r="D8" s="3"/>
      <c r="E8" s="3"/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0"/>
      <c r="S8" s="6"/>
      <c r="T8" s="6"/>
      <c r="U8" s="1"/>
    </row>
    <row r="9" spans="2:23" ht="15" thickBot="1" x14ac:dyDescent="0.4">
      <c r="B9" s="23"/>
      <c r="C9" s="23"/>
      <c r="D9" s="23"/>
      <c r="E9" s="23"/>
      <c r="F9" s="23"/>
      <c r="G9" s="10"/>
      <c r="H9" s="10"/>
      <c r="I9" s="10"/>
      <c r="J9" s="10"/>
      <c r="K9" s="10"/>
      <c r="L9" s="10"/>
      <c r="M9" s="28"/>
      <c r="N9" s="28"/>
      <c r="O9" s="28"/>
      <c r="P9" s="28"/>
      <c r="Q9" s="16"/>
      <c r="R9" s="16"/>
      <c r="S9" s="1"/>
      <c r="T9" s="7" t="s">
        <v>42</v>
      </c>
      <c r="U9" s="88">
        <f>T4</f>
        <v>69659473.893174171</v>
      </c>
    </row>
    <row r="10" spans="2:23" ht="14.5" customHeight="1" x14ac:dyDescent="0.35">
      <c r="B10" s="21"/>
      <c r="C10" s="21"/>
      <c r="D10" s="21"/>
      <c r="E10" s="21"/>
      <c r="F10" s="22"/>
      <c r="G10" s="22"/>
      <c r="H10" s="22"/>
      <c r="I10" s="22"/>
      <c r="J10" s="22"/>
      <c r="K10" s="22"/>
      <c r="L10" s="22"/>
      <c r="M10" s="22"/>
      <c r="N10" s="166"/>
      <c r="S10" s="1"/>
      <c r="T10" s="1"/>
      <c r="V10" s="1"/>
      <c r="W10" s="1"/>
    </row>
    <row r="11" spans="2:23" ht="15" customHeight="1" x14ac:dyDescent="0.35">
      <c r="B11" s="149" t="s">
        <v>43</v>
      </c>
      <c r="C11" s="149"/>
      <c r="D11" s="149"/>
      <c r="E11" s="149"/>
      <c r="F11" s="149"/>
      <c r="G11" s="149"/>
      <c r="H11" s="149"/>
      <c r="I11" s="149"/>
      <c r="J11" s="149"/>
      <c r="K11" s="47"/>
      <c r="L11" s="47"/>
      <c r="M11" s="22"/>
      <c r="N11" s="22"/>
      <c r="R11" s="122"/>
      <c r="S11" s="123"/>
      <c r="T11" s="1"/>
      <c r="V11" s="1"/>
    </row>
    <row r="12" spans="2:23" ht="52" x14ac:dyDescent="0.35">
      <c r="B12" s="17"/>
      <c r="C12" s="124" t="s">
        <v>71</v>
      </c>
      <c r="D12" s="131" t="s">
        <v>72</v>
      </c>
      <c r="E12" s="18" t="s">
        <v>6</v>
      </c>
      <c r="F12" s="18" t="s">
        <v>5</v>
      </c>
      <c r="G12" s="18" t="s">
        <v>7</v>
      </c>
      <c r="H12" s="18" t="s">
        <v>53</v>
      </c>
      <c r="I12" s="18" t="s">
        <v>8</v>
      </c>
      <c r="J12" s="2" t="s">
        <v>29</v>
      </c>
      <c r="K12" s="18" t="s">
        <v>81</v>
      </c>
      <c r="O12" s="1"/>
      <c r="P12" s="1"/>
      <c r="R12" s="1"/>
      <c r="S12" s="10"/>
      <c r="T12" s="25"/>
      <c r="U12" s="86"/>
    </row>
    <row r="13" spans="2:23" x14ac:dyDescent="0.35">
      <c r="B13" s="17" t="s">
        <v>0</v>
      </c>
      <c r="C13" s="87" t="s">
        <v>20</v>
      </c>
      <c r="D13" s="87" t="s">
        <v>20</v>
      </c>
      <c r="E13" s="87" t="s">
        <v>20</v>
      </c>
      <c r="F13" s="87" t="s">
        <v>20</v>
      </c>
      <c r="G13" s="87" t="s">
        <v>20</v>
      </c>
      <c r="H13" s="87" t="s">
        <v>20</v>
      </c>
      <c r="I13" s="87" t="s">
        <v>20</v>
      </c>
      <c r="J13" s="87" t="s">
        <v>20</v>
      </c>
      <c r="K13" s="87" t="s">
        <v>20</v>
      </c>
      <c r="P13" s="1"/>
      <c r="S13" s="10"/>
    </row>
    <row r="14" spans="2:23" x14ac:dyDescent="0.35">
      <c r="B14" s="19" t="s">
        <v>4</v>
      </c>
      <c r="C14" s="133">
        <f>E4/V7</f>
        <v>2.2968878611596601E-2</v>
      </c>
      <c r="D14" s="133">
        <f>F4/V7</f>
        <v>6.8906635834789802E-4</v>
      </c>
      <c r="E14" s="52">
        <f>H4/V7</f>
        <v>0.17719353474687013</v>
      </c>
      <c r="F14" s="52">
        <f>J4/V7</f>
        <v>0.11009292651164747</v>
      </c>
      <c r="G14" s="52">
        <f>L4/V7</f>
        <v>9.0921324158726696E-2</v>
      </c>
      <c r="H14" s="52">
        <f>N4/V7</f>
        <v>0.18677933592333051</v>
      </c>
      <c r="I14" s="52">
        <f>P4/V7</f>
        <v>0.11009292651164747</v>
      </c>
      <c r="J14" s="52">
        <f>R4/V7</f>
        <v>0.10126200717783335</v>
      </c>
      <c r="K14" s="48">
        <f>SUM(C14:J14)</f>
        <v>0.8</v>
      </c>
      <c r="P14" s="10"/>
      <c r="S14" s="10"/>
    </row>
    <row r="15" spans="2:23" x14ac:dyDescent="0.35">
      <c r="B15" s="19" t="s">
        <v>2</v>
      </c>
      <c r="C15" s="133">
        <f>E5/V7</f>
        <v>0</v>
      </c>
      <c r="D15" s="133">
        <f>F5/V7</f>
        <v>0</v>
      </c>
      <c r="E15" s="130">
        <f>H5/V7</f>
        <v>0</v>
      </c>
      <c r="F15" s="130">
        <f>J5/V7</f>
        <v>0</v>
      </c>
      <c r="G15" s="130">
        <f>L5/V7</f>
        <v>0</v>
      </c>
      <c r="H15" s="130">
        <f>N5/V7</f>
        <v>0</v>
      </c>
      <c r="I15" s="130">
        <f>P5/V7</f>
        <v>0</v>
      </c>
      <c r="J15" s="130">
        <f>R5/V7</f>
        <v>0</v>
      </c>
      <c r="K15" s="48">
        <f t="shared" ref="K15:K16" si="6">SUM(C15:J15)</f>
        <v>0</v>
      </c>
      <c r="P15" s="1"/>
      <c r="R15" s="1"/>
      <c r="S15" s="86"/>
    </row>
    <row r="16" spans="2:23" x14ac:dyDescent="0.35">
      <c r="B16" s="19" t="s">
        <v>18</v>
      </c>
      <c r="C16" s="133">
        <f>E6/V7</f>
        <v>5.7422196528991503E-3</v>
      </c>
      <c r="D16" s="133">
        <f>F6/V7</f>
        <v>1.722665895869745E-4</v>
      </c>
      <c r="E16" s="52">
        <f>H6/V7</f>
        <v>4.4298383686717534E-2</v>
      </c>
      <c r="F16" s="52">
        <f>J6/V7</f>
        <v>2.7523231627911867E-2</v>
      </c>
      <c r="G16" s="52">
        <f>L6/V7</f>
        <v>2.2730331039681674E-2</v>
      </c>
      <c r="H16" s="52">
        <f>N6/V7</f>
        <v>4.6694833980832628E-2</v>
      </c>
      <c r="I16" s="52">
        <f>P6/V7</f>
        <v>2.7523231627911867E-2</v>
      </c>
      <c r="J16" s="52">
        <f>R6/V7</f>
        <v>2.5315501794458337E-2</v>
      </c>
      <c r="K16" s="48">
        <f t="shared" si="6"/>
        <v>0.2</v>
      </c>
      <c r="P16" s="10"/>
      <c r="Q16" s="1"/>
      <c r="S16" s="25"/>
      <c r="U16" s="10"/>
    </row>
    <row r="17" spans="1:18" x14ac:dyDescent="0.35">
      <c r="B17" s="23"/>
      <c r="E17" s="31"/>
      <c r="F17" s="31"/>
      <c r="G17" s="31"/>
      <c r="H17" s="31"/>
      <c r="I17" s="31"/>
      <c r="J17" s="42" t="s">
        <v>44</v>
      </c>
      <c r="K17" s="43">
        <f>SUM(K14:K16)</f>
        <v>1</v>
      </c>
      <c r="M17" s="31"/>
      <c r="N17" s="31"/>
      <c r="Q17" s="10"/>
    </row>
    <row r="18" spans="1:18" x14ac:dyDescent="0.35">
      <c r="A18" s="49"/>
      <c r="B18" s="40"/>
      <c r="C18" s="31"/>
      <c r="D18" s="31"/>
      <c r="E18" s="31"/>
      <c r="F18" s="31"/>
      <c r="G18" s="31"/>
      <c r="H18" s="31"/>
      <c r="I18" s="31"/>
      <c r="J18" s="31"/>
      <c r="M18" s="34"/>
      <c r="N18" s="34"/>
    </row>
    <row r="19" spans="1:18" x14ac:dyDescent="0.35">
      <c r="A19" s="16"/>
      <c r="B19" s="16"/>
      <c r="I19" s="10"/>
      <c r="J19" s="10"/>
    </row>
    <row r="21" spans="1:18" x14ac:dyDescent="0.35">
      <c r="B21" s="150" t="s">
        <v>26</v>
      </c>
      <c r="C21" s="150"/>
      <c r="D21" s="150"/>
      <c r="E21" s="150"/>
      <c r="F21" s="150"/>
      <c r="G21" s="150"/>
      <c r="H21" s="150"/>
      <c r="I21" s="150"/>
      <c r="J21" s="150"/>
    </row>
    <row r="22" spans="1:18" ht="52" x14ac:dyDescent="0.35">
      <c r="B22" s="17"/>
      <c r="C22" s="124" t="s">
        <v>71</v>
      </c>
      <c r="D22" s="132" t="s">
        <v>72</v>
      </c>
      <c r="E22" s="18" t="s">
        <v>6</v>
      </c>
      <c r="F22" s="18" t="s">
        <v>5</v>
      </c>
      <c r="G22" s="18" t="s">
        <v>7</v>
      </c>
      <c r="H22" s="18" t="s">
        <v>53</v>
      </c>
      <c r="I22" s="18" t="s">
        <v>8</v>
      </c>
      <c r="J22" s="2" t="s">
        <v>29</v>
      </c>
      <c r="K22" s="18" t="s">
        <v>81</v>
      </c>
    </row>
    <row r="23" spans="1:18" x14ac:dyDescent="0.35">
      <c r="B23" s="20" t="s">
        <v>19</v>
      </c>
      <c r="C23" s="142">
        <f t="shared" ref="C23:J23" si="7">SUM(C14:C16)</f>
        <v>2.8711098264495753E-2</v>
      </c>
      <c r="D23" s="143">
        <f t="shared" si="7"/>
        <v>8.6133294793487255E-4</v>
      </c>
      <c r="E23" s="142">
        <f t="shared" si="7"/>
        <v>0.22149191843358768</v>
      </c>
      <c r="F23" s="142">
        <f t="shared" si="7"/>
        <v>0.13761615813955932</v>
      </c>
      <c r="G23" s="142">
        <f t="shared" si="7"/>
        <v>0.11365165519840836</v>
      </c>
      <c r="H23" s="142">
        <f t="shared" si="7"/>
        <v>0.23347416990416314</v>
      </c>
      <c r="I23" s="142">
        <f t="shared" si="7"/>
        <v>0.13761615813955932</v>
      </c>
      <c r="J23" s="142">
        <f t="shared" si="7"/>
        <v>0.1265775089722917</v>
      </c>
      <c r="K23" s="91">
        <f>SUM(C23:J23)</f>
        <v>1</v>
      </c>
      <c r="M23" s="86"/>
      <c r="N23" s="10"/>
    </row>
    <row r="24" spans="1:18" x14ac:dyDescent="0.35">
      <c r="B24" s="23"/>
      <c r="C24" s="26"/>
      <c r="D24" s="26"/>
      <c r="E24" s="26"/>
      <c r="F24" s="26"/>
      <c r="G24" s="26"/>
      <c r="H24" s="26"/>
      <c r="I24" s="27"/>
      <c r="J24" s="27"/>
    </row>
    <row r="25" spans="1:18" x14ac:dyDescent="0.35">
      <c r="A25" s="16"/>
      <c r="B25" s="16"/>
      <c r="I25" s="10"/>
      <c r="J25" s="10"/>
    </row>
    <row r="27" spans="1:18" x14ac:dyDescent="0.35">
      <c r="B27" s="150" t="s">
        <v>80</v>
      </c>
      <c r="C27" s="150"/>
      <c r="D27" s="150"/>
      <c r="E27" s="150"/>
      <c r="F27" s="150"/>
      <c r="G27" s="150"/>
      <c r="H27" s="24"/>
      <c r="I27" s="24"/>
      <c r="J27" s="24"/>
      <c r="K27" s="24"/>
      <c r="L27" s="58"/>
      <c r="O27" s="1"/>
      <c r="P27" s="1"/>
    </row>
    <row r="28" spans="1:18" ht="26" x14ac:dyDescent="0.35">
      <c r="B28" s="17"/>
      <c r="C28" s="18" t="s">
        <v>6</v>
      </c>
      <c r="D28" s="18" t="s">
        <v>5</v>
      </c>
      <c r="E28" s="18" t="s">
        <v>7</v>
      </c>
      <c r="F28" s="18" t="s">
        <v>41</v>
      </c>
      <c r="G28" s="18" t="s">
        <v>8</v>
      </c>
      <c r="H28" s="37"/>
      <c r="I28" s="37"/>
      <c r="J28" s="37"/>
      <c r="K28" s="37"/>
      <c r="L28" s="59"/>
      <c r="O28" s="37"/>
      <c r="P28" s="37"/>
    </row>
    <row r="29" spans="1:18" x14ac:dyDescent="0.35">
      <c r="A29" s="29"/>
      <c r="B29" s="167" t="s">
        <v>9</v>
      </c>
      <c r="C29" s="168">
        <v>323388</v>
      </c>
      <c r="D29" s="169">
        <v>209539</v>
      </c>
      <c r="E29" s="168">
        <v>212335</v>
      </c>
      <c r="F29" s="168">
        <v>219434</v>
      </c>
      <c r="G29" s="170">
        <v>223725</v>
      </c>
      <c r="H29" s="45"/>
      <c r="I29" s="38"/>
      <c r="J29" s="38"/>
      <c r="K29" s="39"/>
      <c r="L29" s="59"/>
      <c r="M29" s="39"/>
      <c r="N29" s="39"/>
      <c r="O29" s="39"/>
      <c r="P29" s="39"/>
      <c r="Q29" s="1"/>
      <c r="R29" s="1"/>
    </row>
    <row r="30" spans="1:18" x14ac:dyDescent="0.35">
      <c r="B30" s="171"/>
      <c r="C30" s="172"/>
      <c r="D30" s="5"/>
      <c r="E30" s="172"/>
      <c r="F30" s="172"/>
      <c r="G30" s="8"/>
      <c r="H30" s="6"/>
      <c r="I30" s="6"/>
      <c r="J30" s="6"/>
      <c r="K30" s="7"/>
      <c r="L30" s="7"/>
      <c r="M30" s="1"/>
      <c r="N30" s="1"/>
    </row>
    <row r="31" spans="1:18" x14ac:dyDescent="0.35">
      <c r="B31" s="173"/>
      <c r="C31" s="174"/>
      <c r="D31" s="28"/>
      <c r="E31" s="175"/>
      <c r="F31" s="175"/>
      <c r="G31" s="6"/>
      <c r="H31" s="6"/>
      <c r="I31" s="6"/>
      <c r="J31" s="6"/>
      <c r="K31" s="7"/>
      <c r="L31" s="7"/>
      <c r="M31" s="1"/>
      <c r="N31" s="1"/>
    </row>
    <row r="32" spans="1:18" x14ac:dyDescent="0.35">
      <c r="B32" s="173"/>
      <c r="C32" s="175"/>
      <c r="D32" s="28"/>
      <c r="E32" s="175"/>
      <c r="F32" s="175"/>
      <c r="G32" s="6"/>
      <c r="H32" s="6"/>
      <c r="I32" s="6"/>
      <c r="J32" s="6"/>
      <c r="K32" s="7"/>
      <c r="L32" s="7"/>
      <c r="M32" s="1"/>
      <c r="N32" s="1"/>
    </row>
    <row r="33" spans="1:21" x14ac:dyDescent="0.35">
      <c r="B33" s="23"/>
      <c r="C33" s="1"/>
      <c r="D33" s="28"/>
      <c r="E33" s="1"/>
      <c r="F33" s="1"/>
      <c r="G33" s="144"/>
      <c r="H33" s="6"/>
      <c r="I33" s="6"/>
      <c r="J33" s="6"/>
      <c r="K33" s="7"/>
      <c r="L33" s="7"/>
      <c r="M33" s="1"/>
      <c r="N33" s="1"/>
    </row>
    <row r="34" spans="1:21" x14ac:dyDescent="0.35">
      <c r="B34" s="23"/>
      <c r="C34" s="10"/>
      <c r="D34" s="28"/>
      <c r="E34" s="10"/>
      <c r="F34" s="10"/>
      <c r="G34" s="6"/>
      <c r="H34" s="6"/>
      <c r="I34" s="6"/>
      <c r="J34" s="6"/>
      <c r="K34" s="7"/>
      <c r="L34" s="7"/>
      <c r="M34" s="1"/>
      <c r="N34" s="1"/>
    </row>
    <row r="35" spans="1:21" x14ac:dyDescent="0.35">
      <c r="B35" s="23"/>
      <c r="C35" s="10"/>
      <c r="D35" s="28"/>
      <c r="E35" s="10"/>
      <c r="F35" s="10"/>
      <c r="G35" s="6"/>
      <c r="H35" s="6"/>
      <c r="I35" s="6"/>
      <c r="J35" s="6"/>
      <c r="K35" s="7"/>
      <c r="L35" s="7"/>
      <c r="M35" s="1"/>
      <c r="N35" s="1"/>
    </row>
    <row r="36" spans="1:21" x14ac:dyDescent="0.35">
      <c r="B36" s="23"/>
      <c r="C36" s="10"/>
      <c r="D36" s="28"/>
      <c r="E36" s="10"/>
      <c r="F36" s="10"/>
      <c r="G36" s="28"/>
      <c r="H36" s="28"/>
      <c r="I36" s="6"/>
      <c r="J36" s="6"/>
      <c r="K36" s="6"/>
      <c r="L36" s="6"/>
      <c r="M36" s="7"/>
      <c r="N36" s="7"/>
      <c r="O36" s="1"/>
      <c r="P36" s="1"/>
    </row>
    <row r="37" spans="1:21" x14ac:dyDescent="0.35">
      <c r="A37" t="s">
        <v>21</v>
      </c>
      <c r="B37" s="23"/>
      <c r="C37" s="10"/>
      <c r="D37" s="28"/>
      <c r="E37" s="10"/>
      <c r="F37" s="10"/>
      <c r="G37" s="28"/>
      <c r="H37" s="28"/>
      <c r="I37" s="6"/>
      <c r="J37" s="6"/>
      <c r="K37" s="6"/>
      <c r="L37" s="6"/>
      <c r="M37" s="7"/>
      <c r="N37" s="7"/>
      <c r="O37" s="1"/>
      <c r="P37" s="1"/>
    </row>
    <row r="39" spans="1:21" ht="58.5" thickBot="1" x14ac:dyDescent="0.4">
      <c r="C39" s="56" t="s">
        <v>10</v>
      </c>
      <c r="D39" s="56" t="s">
        <v>11</v>
      </c>
      <c r="E39" s="57" t="s">
        <v>12</v>
      </c>
      <c r="F39" s="57" t="s">
        <v>13</v>
      </c>
      <c r="G39" s="78" t="s">
        <v>33</v>
      </c>
      <c r="H39" s="60" t="s">
        <v>36</v>
      </c>
      <c r="I39" s="60" t="s">
        <v>37</v>
      </c>
      <c r="J39" s="113" t="s">
        <v>68</v>
      </c>
      <c r="K39" s="121" t="s">
        <v>78</v>
      </c>
      <c r="N39" s="119" t="s">
        <v>64</v>
      </c>
      <c r="O39" s="57" t="s">
        <v>65</v>
      </c>
      <c r="P39" s="78" t="s">
        <v>40</v>
      </c>
      <c r="Q39" s="81" t="s">
        <v>38</v>
      </c>
      <c r="R39" s="81" t="s">
        <v>39</v>
      </c>
      <c r="S39" s="114" t="s">
        <v>69</v>
      </c>
      <c r="T39" s="176" t="s">
        <v>77</v>
      </c>
    </row>
    <row r="40" spans="1:21" x14ac:dyDescent="0.35">
      <c r="B40" t="s">
        <v>83</v>
      </c>
      <c r="C40" s="9">
        <v>300000</v>
      </c>
      <c r="D40" s="9">
        <v>15000</v>
      </c>
      <c r="E40" s="11">
        <v>18985000</v>
      </c>
      <c r="F40" s="12">
        <v>500000</v>
      </c>
      <c r="G40" s="44">
        <f>SUM(E40:F40)</f>
        <v>19485000</v>
      </c>
      <c r="H40" s="61">
        <f>D56</f>
        <v>3103455.3377355002</v>
      </c>
      <c r="I40" s="75">
        <f>G40+H40</f>
        <v>22588455.3377355</v>
      </c>
      <c r="J40" s="146">
        <f>I40*1.15</f>
        <v>25976723.638395824</v>
      </c>
      <c r="K40" s="147">
        <f>SUM(C40,D40,J40)</f>
        <v>26291723.638395824</v>
      </c>
      <c r="M40" s="6" t="s">
        <v>70</v>
      </c>
      <c r="N40" s="120">
        <f t="shared" ref="N40:P44" si="8">E40-(E40*0.1)</f>
        <v>17086500</v>
      </c>
      <c r="O40" s="79">
        <f t="shared" si="8"/>
        <v>450000</v>
      </c>
      <c r="P40" s="79">
        <f t="shared" si="8"/>
        <v>17536500</v>
      </c>
      <c r="Q40" s="82">
        <f>K56</f>
        <v>2793109.803961955</v>
      </c>
      <c r="R40" s="83">
        <f>SUM(P40:Q40)</f>
        <v>20329609.803961955</v>
      </c>
      <c r="S40" s="115">
        <f>R40*1.15</f>
        <v>23379051.274556246</v>
      </c>
      <c r="T40" s="83">
        <f>SUM(C40,D40,S40)</f>
        <v>23694051.274556246</v>
      </c>
      <c r="U40" s="6" t="s">
        <v>70</v>
      </c>
    </row>
    <row r="41" spans="1:21" x14ac:dyDescent="0.35">
      <c r="B41" t="s">
        <v>84</v>
      </c>
      <c r="C41" s="9">
        <v>300000</v>
      </c>
      <c r="D41" s="9">
        <v>15000</v>
      </c>
      <c r="E41" s="13">
        <v>8985000</v>
      </c>
      <c r="F41" s="14">
        <v>500000</v>
      </c>
      <c r="G41" s="44">
        <f t="shared" ref="G41:G44" si="9">SUM(E41:F41)</f>
        <v>9485000</v>
      </c>
      <c r="H41" s="61">
        <f>D64</f>
        <v>1510714.5947355013</v>
      </c>
      <c r="I41" s="75">
        <f>G41+H41</f>
        <v>10995714.594735501</v>
      </c>
      <c r="J41" s="146">
        <f t="shared" ref="J41:J44" si="10">I41*1.15</f>
        <v>12645071.783945825</v>
      </c>
      <c r="K41" s="147">
        <f t="shared" ref="K41:K44" si="11">SUM(C41,D41,J41)</f>
        <v>12960071.783945825</v>
      </c>
      <c r="M41" s="10">
        <f>K40/2</f>
        <v>13145861.819197912</v>
      </c>
      <c r="N41" s="120">
        <f t="shared" si="8"/>
        <v>8086500</v>
      </c>
      <c r="O41" s="79">
        <f t="shared" si="8"/>
        <v>450000</v>
      </c>
      <c r="P41" s="79">
        <f t="shared" si="8"/>
        <v>8536500</v>
      </c>
      <c r="Q41" s="82">
        <f>K64</f>
        <v>1359643.135261951</v>
      </c>
      <c r="R41" s="83">
        <f t="shared" ref="R41:R45" si="12">SUM(P41:Q41)</f>
        <v>9896143.135261951</v>
      </c>
      <c r="S41" s="115">
        <f>R41*1.15</f>
        <v>11380564.605551243</v>
      </c>
      <c r="T41" s="83">
        <f>SUM(C41,D41,S41)</f>
        <v>11695564.605551243</v>
      </c>
      <c r="U41" s="10">
        <f>T40/2</f>
        <v>11847025.637278123</v>
      </c>
    </row>
    <row r="42" spans="1:21" x14ac:dyDescent="0.35">
      <c r="B42" t="s">
        <v>85</v>
      </c>
      <c r="C42" s="9">
        <v>300000</v>
      </c>
      <c r="D42" s="9">
        <v>15000</v>
      </c>
      <c r="E42" s="13">
        <v>10985000</v>
      </c>
      <c r="F42" s="14">
        <v>500000</v>
      </c>
      <c r="G42" s="44">
        <f t="shared" si="9"/>
        <v>11485000</v>
      </c>
      <c r="H42" s="61">
        <f>F56</f>
        <v>1829262.7433355022</v>
      </c>
      <c r="I42" s="75">
        <f>G42+H42</f>
        <v>13314262.743335502</v>
      </c>
      <c r="J42" s="146">
        <f t="shared" si="10"/>
        <v>15311402.154835826</v>
      </c>
      <c r="K42" s="147">
        <f t="shared" si="11"/>
        <v>15626402.154835826</v>
      </c>
      <c r="N42" s="120">
        <f t="shared" si="8"/>
        <v>9886500</v>
      </c>
      <c r="O42" s="79">
        <f t="shared" si="8"/>
        <v>450000</v>
      </c>
      <c r="P42" s="79">
        <f t="shared" si="8"/>
        <v>10336500</v>
      </c>
      <c r="Q42" s="82">
        <f>M56</f>
        <v>1646336.4690019507</v>
      </c>
      <c r="R42" s="83">
        <f t="shared" si="12"/>
        <v>11982836.469001951</v>
      </c>
      <c r="S42" s="115">
        <f>R42*1.15</f>
        <v>13780261.939352242</v>
      </c>
      <c r="T42" s="83">
        <f>SUM(C42,D42,S42)</f>
        <v>14095261.939352242</v>
      </c>
    </row>
    <row r="43" spans="1:21" x14ac:dyDescent="0.35">
      <c r="B43" t="s">
        <v>86</v>
      </c>
      <c r="C43" s="9">
        <v>1300000</v>
      </c>
      <c r="D43" s="9">
        <v>15000</v>
      </c>
      <c r="E43" s="13">
        <v>16985000</v>
      </c>
      <c r="F43" s="14">
        <v>1500000</v>
      </c>
      <c r="G43" s="44">
        <f>SUM(E43:F43)</f>
        <v>18485000</v>
      </c>
      <c r="H43" s="61">
        <f>F64</f>
        <v>2944181.2634354979</v>
      </c>
      <c r="I43" s="75">
        <f>G43+H43</f>
        <v>21429181.263435498</v>
      </c>
      <c r="J43" s="146">
        <f t="shared" si="10"/>
        <v>24643558.45295082</v>
      </c>
      <c r="K43" s="147">
        <f t="shared" si="11"/>
        <v>25958558.45295082</v>
      </c>
      <c r="N43" s="120">
        <f t="shared" si="8"/>
        <v>15286500</v>
      </c>
      <c r="O43" s="79">
        <f t="shared" si="8"/>
        <v>1350000</v>
      </c>
      <c r="P43" s="79">
        <f t="shared" si="8"/>
        <v>16636500</v>
      </c>
      <c r="Q43" s="82">
        <f>M64</f>
        <v>2649763.1370919533</v>
      </c>
      <c r="R43" s="83">
        <f t="shared" si="12"/>
        <v>19286263.137091953</v>
      </c>
      <c r="S43" s="115">
        <f>R43*1.15</f>
        <v>22179202.607655745</v>
      </c>
      <c r="T43" s="83">
        <f>SUM(C43,D43,S43)</f>
        <v>23494202.607655745</v>
      </c>
    </row>
    <row r="44" spans="1:21" ht="15" thickBot="1" x14ac:dyDescent="0.4">
      <c r="B44" t="s">
        <v>87</v>
      </c>
      <c r="C44" s="70">
        <v>300000</v>
      </c>
      <c r="D44" s="70">
        <v>15000</v>
      </c>
      <c r="E44" s="71">
        <v>10985000</v>
      </c>
      <c r="F44" s="72">
        <v>500000</v>
      </c>
      <c r="G44" s="70">
        <f t="shared" si="9"/>
        <v>11485000</v>
      </c>
      <c r="H44" s="73">
        <f>H56</f>
        <v>1829262.7433355022</v>
      </c>
      <c r="I44" s="76">
        <f>G44+H44</f>
        <v>13314262.743335502</v>
      </c>
      <c r="J44" s="148">
        <f t="shared" si="10"/>
        <v>15311402.154835826</v>
      </c>
      <c r="K44" s="147">
        <f t="shared" si="11"/>
        <v>15626402.154835826</v>
      </c>
      <c r="N44" s="120">
        <f t="shared" si="8"/>
        <v>9886500</v>
      </c>
      <c r="O44" s="79">
        <f t="shared" si="8"/>
        <v>450000</v>
      </c>
      <c r="P44" s="80">
        <f t="shared" si="8"/>
        <v>10336500</v>
      </c>
      <c r="Q44" s="84">
        <f>O56</f>
        <v>1646336.4690019507</v>
      </c>
      <c r="R44" s="85">
        <f t="shared" si="12"/>
        <v>11982836.469001951</v>
      </c>
      <c r="S44" s="118">
        <f>R44*1.15</f>
        <v>13780261.939352242</v>
      </c>
      <c r="T44" s="85">
        <f>SUM(C44,D44,S44)</f>
        <v>14095261.939352242</v>
      </c>
    </row>
    <row r="45" spans="1:21" ht="15.5" thickTop="1" thickBot="1" x14ac:dyDescent="0.4">
      <c r="C45" s="1">
        <f>SUM(C40:C44)</f>
        <v>2500000</v>
      </c>
      <c r="D45" s="1">
        <f t="shared" ref="D45:G45" si="13">SUM(D40:D44)</f>
        <v>75000</v>
      </c>
      <c r="E45" s="74">
        <f t="shared" si="13"/>
        <v>66925000</v>
      </c>
      <c r="F45" s="15">
        <f t="shared" si="13"/>
        <v>3500000</v>
      </c>
      <c r="G45" s="1">
        <f t="shared" si="13"/>
        <v>70425000</v>
      </c>
      <c r="H45" s="67">
        <f>SUM(H40:H44)</f>
        <v>11216876.682577504</v>
      </c>
      <c r="I45" s="67">
        <f>SUM(I40:I44)</f>
        <v>81641876.682577506</v>
      </c>
      <c r="J45" s="147">
        <f>SUM(J40:J44)</f>
        <v>93888158.18496412</v>
      </c>
      <c r="K45" s="147">
        <f>SUM(K40:K44)</f>
        <v>96463158.18496412</v>
      </c>
      <c r="P45" s="79">
        <f>SUM(P40:P44)</f>
        <v>63382500</v>
      </c>
      <c r="Q45" s="82">
        <f>SUM(Q40:Q44)</f>
        <v>10095189.014319761</v>
      </c>
      <c r="R45" s="83">
        <f t="shared" si="12"/>
        <v>73477689.014319763</v>
      </c>
      <c r="S45" s="115">
        <f>SUM(S40:S44)</f>
        <v>84499342.366467729</v>
      </c>
      <c r="T45" s="83">
        <f>SUM(T40:T44)</f>
        <v>87074342.366467729</v>
      </c>
    </row>
    <row r="46" spans="1:21" ht="29" x14ac:dyDescent="0.35">
      <c r="F46" s="1"/>
      <c r="I46" s="116" t="s">
        <v>79</v>
      </c>
      <c r="J46" s="10">
        <f>SUM(K45,C29:G29)</f>
        <v>97651579.18496412</v>
      </c>
      <c r="R46" s="116" t="s">
        <v>79</v>
      </c>
      <c r="S46" s="1">
        <f>SUM(T45,C29:G29)</f>
        <v>88262763.366467729</v>
      </c>
    </row>
    <row r="48" spans="1:21" x14ac:dyDescent="0.35">
      <c r="C48" s="156" t="s">
        <v>35</v>
      </c>
      <c r="D48" s="156"/>
      <c r="E48" s="156"/>
      <c r="F48" s="156"/>
      <c r="G48" s="156"/>
      <c r="H48" s="156"/>
      <c r="J48" s="157" t="s">
        <v>34</v>
      </c>
      <c r="K48" s="157"/>
      <c r="L48" s="157"/>
      <c r="M48" s="157"/>
      <c r="N48" s="157"/>
      <c r="O48" s="157"/>
      <c r="R48" s="1"/>
    </row>
    <row r="49" spans="3:17" x14ac:dyDescent="0.35">
      <c r="C49" s="151" t="s">
        <v>83</v>
      </c>
      <c r="D49" s="151"/>
      <c r="E49" s="151" t="s">
        <v>85</v>
      </c>
      <c r="F49" s="151"/>
      <c r="G49" s="151" t="s">
        <v>87</v>
      </c>
      <c r="H49" s="151"/>
      <c r="J49" s="151" t="s">
        <v>83</v>
      </c>
      <c r="K49" s="151"/>
      <c r="L49" s="151" t="s">
        <v>85</v>
      </c>
      <c r="M49" s="151"/>
      <c r="N49" s="151" t="s">
        <v>87</v>
      </c>
      <c r="O49" s="151"/>
    </row>
    <row r="50" spans="3:17" x14ac:dyDescent="0.35">
      <c r="C50" s="62" t="s">
        <v>14</v>
      </c>
      <c r="D50" s="63">
        <f>G40</f>
        <v>19485000</v>
      </c>
      <c r="E50" s="62" t="s">
        <v>14</v>
      </c>
      <c r="F50" s="63">
        <f>G42</f>
        <v>11485000</v>
      </c>
      <c r="G50" s="62" t="s">
        <v>14</v>
      </c>
      <c r="H50" s="63">
        <f>G44</f>
        <v>11485000</v>
      </c>
      <c r="J50" s="62" t="s">
        <v>14</v>
      </c>
      <c r="K50" s="63">
        <f>P40</f>
        <v>17536500</v>
      </c>
      <c r="L50" s="62" t="s">
        <v>14</v>
      </c>
      <c r="M50" s="63">
        <f>P42</f>
        <v>10336500</v>
      </c>
      <c r="N50" s="62" t="s">
        <v>14</v>
      </c>
      <c r="O50" s="63">
        <f>P44</f>
        <v>10336500</v>
      </c>
    </row>
    <row r="51" spans="3:17" x14ac:dyDescent="0.35">
      <c r="C51" s="62" t="s">
        <v>15</v>
      </c>
      <c r="D51" s="64">
        <f>D50*1.03</f>
        <v>20069550</v>
      </c>
      <c r="E51" s="62" t="s">
        <v>15</v>
      </c>
      <c r="F51" s="64">
        <f>F50*1.03</f>
        <v>11829550</v>
      </c>
      <c r="G51" s="62" t="s">
        <v>15</v>
      </c>
      <c r="H51" s="64">
        <f>H50*1.03</f>
        <v>11829550</v>
      </c>
      <c r="J51" s="62" t="s">
        <v>15</v>
      </c>
      <c r="K51" s="64">
        <f>K50*1.03</f>
        <v>18062595</v>
      </c>
      <c r="L51" s="62" t="s">
        <v>15</v>
      </c>
      <c r="M51" s="64">
        <f>M50*1.03</f>
        <v>10646595</v>
      </c>
      <c r="N51" s="62" t="s">
        <v>15</v>
      </c>
      <c r="O51" s="64">
        <f>O50*1.03</f>
        <v>10646595</v>
      </c>
      <c r="Q51" s="1"/>
    </row>
    <row r="52" spans="3:17" x14ac:dyDescent="0.35">
      <c r="C52" s="62" t="s">
        <v>16</v>
      </c>
      <c r="D52" s="64">
        <f t="shared" ref="D52:D55" si="14">D51*1.03</f>
        <v>20671636.5</v>
      </c>
      <c r="E52" s="62" t="s">
        <v>16</v>
      </c>
      <c r="F52" s="64">
        <f t="shared" ref="F52:F55" si="15">F51*1.03</f>
        <v>12184436.5</v>
      </c>
      <c r="G52" s="62" t="s">
        <v>16</v>
      </c>
      <c r="H52" s="64">
        <f t="shared" ref="H52:H55" si="16">H51*1.03</f>
        <v>12184436.5</v>
      </c>
      <c r="J52" s="62" t="s">
        <v>16</v>
      </c>
      <c r="K52" s="64">
        <f t="shared" ref="K52:K55" si="17">K51*1.03</f>
        <v>18604472.850000001</v>
      </c>
      <c r="L52" s="62" t="s">
        <v>16</v>
      </c>
      <c r="M52" s="64">
        <f t="shared" ref="M52:M55" si="18">M51*1.03</f>
        <v>10965992.85</v>
      </c>
      <c r="N52" s="62" t="s">
        <v>16</v>
      </c>
      <c r="O52" s="64">
        <f t="shared" ref="O52:O55" si="19">O51*1.03</f>
        <v>10965992.85</v>
      </c>
      <c r="Q52" s="1"/>
    </row>
    <row r="53" spans="3:17" x14ac:dyDescent="0.35">
      <c r="C53" s="62" t="s">
        <v>17</v>
      </c>
      <c r="D53" s="64">
        <f t="shared" si="14"/>
        <v>21291785.594999999</v>
      </c>
      <c r="E53" s="62" t="s">
        <v>17</v>
      </c>
      <c r="F53" s="64">
        <f t="shared" si="15"/>
        <v>12549969.595000001</v>
      </c>
      <c r="G53" s="62" t="s">
        <v>17</v>
      </c>
      <c r="H53" s="64">
        <f t="shared" si="16"/>
        <v>12549969.595000001</v>
      </c>
      <c r="J53" s="62" t="s">
        <v>17</v>
      </c>
      <c r="K53" s="64">
        <f t="shared" si="17"/>
        <v>19162607.035500001</v>
      </c>
      <c r="L53" s="62" t="s">
        <v>17</v>
      </c>
      <c r="M53" s="64">
        <f t="shared" si="18"/>
        <v>11294972.635500001</v>
      </c>
      <c r="N53" s="62" t="s">
        <v>17</v>
      </c>
      <c r="O53" s="64">
        <f t="shared" si="19"/>
        <v>11294972.635500001</v>
      </c>
    </row>
    <row r="54" spans="3:17" x14ac:dyDescent="0.35">
      <c r="C54" s="62" t="s">
        <v>31</v>
      </c>
      <c r="D54" s="64">
        <f t="shared" si="14"/>
        <v>21930539.16285</v>
      </c>
      <c r="E54" s="62" t="s">
        <v>31</v>
      </c>
      <c r="F54" s="64">
        <f t="shared" si="15"/>
        <v>12926468.682850001</v>
      </c>
      <c r="G54" s="62" t="s">
        <v>31</v>
      </c>
      <c r="H54" s="64">
        <f t="shared" si="16"/>
        <v>12926468.682850001</v>
      </c>
      <c r="J54" s="62" t="s">
        <v>31</v>
      </c>
      <c r="K54" s="64">
        <f t="shared" si="17"/>
        <v>19737485.246565003</v>
      </c>
      <c r="L54" s="62" t="s">
        <v>31</v>
      </c>
      <c r="M54" s="64">
        <f t="shared" si="18"/>
        <v>11633821.814565001</v>
      </c>
      <c r="N54" s="62" t="s">
        <v>31</v>
      </c>
      <c r="O54" s="64">
        <f t="shared" si="19"/>
        <v>11633821.814565001</v>
      </c>
    </row>
    <row r="55" spans="3:17" ht="15" thickBot="1" x14ac:dyDescent="0.4">
      <c r="C55" s="62" t="s">
        <v>32</v>
      </c>
      <c r="D55" s="77">
        <f t="shared" si="14"/>
        <v>22588455.3377355</v>
      </c>
      <c r="E55" s="62" t="s">
        <v>32</v>
      </c>
      <c r="F55" s="77">
        <f t="shared" si="15"/>
        <v>13314262.743335502</v>
      </c>
      <c r="G55" s="62" t="s">
        <v>32</v>
      </c>
      <c r="H55" s="77">
        <f t="shared" si="16"/>
        <v>13314262.743335502</v>
      </c>
      <c r="J55" s="62" t="s">
        <v>32</v>
      </c>
      <c r="K55" s="77">
        <f t="shared" si="17"/>
        <v>20329609.803961955</v>
      </c>
      <c r="L55" s="62" t="s">
        <v>32</v>
      </c>
      <c r="M55" s="77">
        <f t="shared" si="18"/>
        <v>11982836.469001951</v>
      </c>
      <c r="N55" s="62" t="s">
        <v>32</v>
      </c>
      <c r="O55" s="77">
        <f t="shared" si="19"/>
        <v>11982836.469001951</v>
      </c>
    </row>
    <row r="56" spans="3:17" ht="15" thickTop="1" x14ac:dyDescent="0.35">
      <c r="C56" s="66" t="s">
        <v>30</v>
      </c>
      <c r="D56" s="68">
        <f>D55-D50</f>
        <v>3103455.3377355002</v>
      </c>
      <c r="E56" s="66" t="s">
        <v>30</v>
      </c>
      <c r="F56" s="68">
        <f>F55-F50</f>
        <v>1829262.7433355022</v>
      </c>
      <c r="G56" s="66" t="s">
        <v>30</v>
      </c>
      <c r="H56" s="68">
        <f>H55-H50</f>
        <v>1829262.7433355022</v>
      </c>
      <c r="J56" s="66" t="s">
        <v>30</v>
      </c>
      <c r="K56" s="68">
        <f>K55-K50</f>
        <v>2793109.803961955</v>
      </c>
      <c r="L56" s="66" t="s">
        <v>30</v>
      </c>
      <c r="M56" s="68">
        <f>M55-M50</f>
        <v>1646336.4690019507</v>
      </c>
      <c r="N56" s="66" t="s">
        <v>30</v>
      </c>
      <c r="O56" s="68">
        <f>O55-O50</f>
        <v>1646336.4690019507</v>
      </c>
    </row>
    <row r="57" spans="3:17" x14ac:dyDescent="0.35">
      <c r="C57" s="151" t="s">
        <v>84</v>
      </c>
      <c r="D57" s="151"/>
      <c r="E57" s="151" t="s">
        <v>86</v>
      </c>
      <c r="F57" s="151"/>
      <c r="G57" s="46"/>
      <c r="H57" s="46"/>
      <c r="J57" s="151" t="s">
        <v>84</v>
      </c>
      <c r="K57" s="151"/>
      <c r="L57" s="151" t="s">
        <v>86</v>
      </c>
      <c r="M57" s="151"/>
      <c r="N57" s="46"/>
      <c r="O57" s="46"/>
    </row>
    <row r="58" spans="3:17" x14ac:dyDescent="0.35">
      <c r="C58" s="62" t="s">
        <v>14</v>
      </c>
      <c r="D58" s="51">
        <f>G41</f>
        <v>9485000</v>
      </c>
      <c r="E58" s="62" t="s">
        <v>14</v>
      </c>
      <c r="F58" s="63">
        <f>G43</f>
        <v>18485000</v>
      </c>
      <c r="J58" s="62" t="s">
        <v>14</v>
      </c>
      <c r="K58" s="51">
        <f>P41</f>
        <v>8536500</v>
      </c>
      <c r="L58" s="62" t="s">
        <v>14</v>
      </c>
      <c r="M58" s="63">
        <f>P43</f>
        <v>16636500</v>
      </c>
    </row>
    <row r="59" spans="3:17" x14ac:dyDescent="0.35">
      <c r="C59" s="62" t="s">
        <v>15</v>
      </c>
      <c r="D59" s="65">
        <f>D58*1.03</f>
        <v>9769550</v>
      </c>
      <c r="E59" s="62" t="s">
        <v>15</v>
      </c>
      <c r="F59" s="64">
        <f>F58*1.03</f>
        <v>19039550</v>
      </c>
      <c r="J59" s="62" t="s">
        <v>15</v>
      </c>
      <c r="K59" s="65">
        <f>K58*1.03</f>
        <v>8792595</v>
      </c>
      <c r="L59" s="62" t="s">
        <v>15</v>
      </c>
      <c r="M59" s="64">
        <f>M58*1.03</f>
        <v>17135595</v>
      </c>
    </row>
    <row r="60" spans="3:17" x14ac:dyDescent="0.35">
      <c r="C60" s="62" t="s">
        <v>16</v>
      </c>
      <c r="D60" s="65">
        <f t="shared" ref="D60:D63" si="20">D59*1.03</f>
        <v>10062636.5</v>
      </c>
      <c r="E60" s="62" t="s">
        <v>16</v>
      </c>
      <c r="F60" s="64">
        <f t="shared" ref="F60:F63" si="21">F59*1.03</f>
        <v>19610736.5</v>
      </c>
      <c r="J60" s="62" t="s">
        <v>16</v>
      </c>
      <c r="K60" s="65">
        <f t="shared" ref="K60:K63" si="22">K59*1.03</f>
        <v>9056372.8499999996</v>
      </c>
      <c r="L60" s="62" t="s">
        <v>16</v>
      </c>
      <c r="M60" s="64">
        <f t="shared" ref="M60:M63" si="23">M59*1.03</f>
        <v>17649662.850000001</v>
      </c>
    </row>
    <row r="61" spans="3:17" x14ac:dyDescent="0.35">
      <c r="C61" s="62" t="s">
        <v>17</v>
      </c>
      <c r="D61" s="65">
        <f t="shared" si="20"/>
        <v>10364515.595000001</v>
      </c>
      <c r="E61" s="62" t="s">
        <v>17</v>
      </c>
      <c r="F61" s="64">
        <f t="shared" si="21"/>
        <v>20199058.594999999</v>
      </c>
      <c r="J61" s="62" t="s">
        <v>17</v>
      </c>
      <c r="K61" s="65">
        <f t="shared" si="22"/>
        <v>9328064.0354999993</v>
      </c>
      <c r="L61" s="62" t="s">
        <v>17</v>
      </c>
      <c r="M61" s="64">
        <f t="shared" si="23"/>
        <v>18179152.7355</v>
      </c>
    </row>
    <row r="62" spans="3:17" x14ac:dyDescent="0.35">
      <c r="C62" s="62" t="s">
        <v>31</v>
      </c>
      <c r="D62" s="65">
        <f t="shared" si="20"/>
        <v>10675451.06285</v>
      </c>
      <c r="E62" s="62" t="s">
        <v>31</v>
      </c>
      <c r="F62" s="64">
        <f t="shared" si="21"/>
        <v>20805030.352849998</v>
      </c>
      <c r="J62" s="62" t="s">
        <v>31</v>
      </c>
      <c r="K62" s="65">
        <f t="shared" si="22"/>
        <v>9607905.9565650001</v>
      </c>
      <c r="L62" s="62" t="s">
        <v>31</v>
      </c>
      <c r="M62" s="64">
        <f t="shared" si="23"/>
        <v>18724527.317565002</v>
      </c>
    </row>
    <row r="63" spans="3:17" x14ac:dyDescent="0.35">
      <c r="C63" s="62" t="s">
        <v>32</v>
      </c>
      <c r="D63" s="65">
        <f t="shared" si="20"/>
        <v>10995714.594735501</v>
      </c>
      <c r="E63" s="62" t="s">
        <v>32</v>
      </c>
      <c r="F63" s="64">
        <f t="shared" si="21"/>
        <v>21429181.263435498</v>
      </c>
      <c r="G63" s="1"/>
      <c r="H63" s="1"/>
      <c r="J63" s="62" t="s">
        <v>32</v>
      </c>
      <c r="K63" s="65">
        <f t="shared" si="22"/>
        <v>9896143.135261951</v>
      </c>
      <c r="L63" s="62" t="s">
        <v>32</v>
      </c>
      <c r="M63" s="64">
        <f t="shared" si="23"/>
        <v>19286263.137091953</v>
      </c>
      <c r="N63" s="1"/>
      <c r="O63" s="1"/>
    </row>
    <row r="64" spans="3:17" x14ac:dyDescent="0.35">
      <c r="C64" s="66" t="s">
        <v>30</v>
      </c>
      <c r="D64" s="69">
        <f>D63-D58</f>
        <v>1510714.5947355013</v>
      </c>
      <c r="E64" s="66" t="s">
        <v>30</v>
      </c>
      <c r="F64" s="68">
        <f>F63-F58</f>
        <v>2944181.2634354979</v>
      </c>
      <c r="J64" s="66" t="s">
        <v>30</v>
      </c>
      <c r="K64" s="69">
        <f>K63-K58</f>
        <v>1359643.135261951</v>
      </c>
      <c r="L64" s="66" t="s">
        <v>30</v>
      </c>
      <c r="M64" s="68">
        <f>M63-M58</f>
        <v>2649763.1370919533</v>
      </c>
      <c r="N64" s="23" t="s">
        <v>66</v>
      </c>
      <c r="O64" s="58">
        <f>SUM(K55,M55,O55,K63,M63)</f>
        <v>73477689.014319763</v>
      </c>
    </row>
    <row r="67" spans="3:15" x14ac:dyDescent="0.35">
      <c r="C67" s="157" t="s">
        <v>62</v>
      </c>
      <c r="D67" s="157"/>
      <c r="E67" s="157"/>
      <c r="F67" s="157"/>
      <c r="G67" s="157"/>
      <c r="H67" s="157"/>
      <c r="J67" s="157" t="s">
        <v>63</v>
      </c>
      <c r="K67" s="157"/>
      <c r="L67" s="157"/>
      <c r="M67" s="157"/>
      <c r="N67" s="157"/>
      <c r="O67" s="157"/>
    </row>
    <row r="68" spans="3:15" x14ac:dyDescent="0.35">
      <c r="C68" s="151" t="s">
        <v>83</v>
      </c>
      <c r="D68" s="151"/>
      <c r="E68" s="151" t="s">
        <v>85</v>
      </c>
      <c r="F68" s="151"/>
      <c r="G68" s="151" t="s">
        <v>87</v>
      </c>
      <c r="H68" s="151"/>
      <c r="J68" s="151" t="s">
        <v>83</v>
      </c>
      <c r="K68" s="151"/>
      <c r="L68" s="151" t="s">
        <v>85</v>
      </c>
      <c r="M68" s="151"/>
      <c r="N68" s="151" t="s">
        <v>87</v>
      </c>
      <c r="O68" s="151"/>
    </row>
    <row r="69" spans="3:15" x14ac:dyDescent="0.35">
      <c r="C69" s="62" t="s">
        <v>14</v>
      </c>
      <c r="D69" s="63">
        <f>N40</f>
        <v>17086500</v>
      </c>
      <c r="E69" s="62" t="s">
        <v>14</v>
      </c>
      <c r="F69" s="63">
        <f>N42</f>
        <v>9886500</v>
      </c>
      <c r="G69" s="62" t="s">
        <v>14</v>
      </c>
      <c r="H69" s="63">
        <f>N44</f>
        <v>9886500</v>
      </c>
      <c r="J69" s="62" t="s">
        <v>14</v>
      </c>
      <c r="K69" s="63">
        <f>O40</f>
        <v>450000</v>
      </c>
      <c r="L69" s="62" t="s">
        <v>14</v>
      </c>
      <c r="M69" s="63">
        <f>O42</f>
        <v>450000</v>
      </c>
      <c r="N69" s="62" t="s">
        <v>14</v>
      </c>
      <c r="O69" s="63">
        <f>O44</f>
        <v>450000</v>
      </c>
    </row>
    <row r="70" spans="3:15" x14ac:dyDescent="0.35">
      <c r="C70" s="62" t="s">
        <v>15</v>
      </c>
      <c r="D70" s="64">
        <f>D69*1.03</f>
        <v>17599095</v>
      </c>
      <c r="E70" s="62" t="s">
        <v>15</v>
      </c>
      <c r="F70" s="64">
        <f>F69*1.03</f>
        <v>10183095</v>
      </c>
      <c r="G70" s="62" t="s">
        <v>15</v>
      </c>
      <c r="H70" s="64">
        <f>H69*1.03</f>
        <v>10183095</v>
      </c>
      <c r="J70" s="62" t="s">
        <v>15</v>
      </c>
      <c r="K70" s="64">
        <f>K69*1.03</f>
        <v>463500</v>
      </c>
      <c r="L70" s="62" t="s">
        <v>15</v>
      </c>
      <c r="M70" s="64">
        <f>M69*1.03</f>
        <v>463500</v>
      </c>
      <c r="N70" s="62" t="s">
        <v>15</v>
      </c>
      <c r="O70" s="64">
        <f>O69*1.03</f>
        <v>463500</v>
      </c>
    </row>
    <row r="71" spans="3:15" x14ac:dyDescent="0.35">
      <c r="C71" s="62" t="s">
        <v>16</v>
      </c>
      <c r="D71" s="64">
        <f t="shared" ref="D71:D74" si="24">D70*1.03</f>
        <v>18127067.850000001</v>
      </c>
      <c r="E71" s="62" t="s">
        <v>16</v>
      </c>
      <c r="F71" s="64">
        <f t="shared" ref="F71:F74" si="25">F70*1.03</f>
        <v>10488587.85</v>
      </c>
      <c r="G71" s="62" t="s">
        <v>16</v>
      </c>
      <c r="H71" s="64">
        <f t="shared" ref="H71:H74" si="26">H70*1.03</f>
        <v>10488587.85</v>
      </c>
      <c r="J71" s="62" t="s">
        <v>16</v>
      </c>
      <c r="K71" s="64">
        <f t="shared" ref="K71:K74" si="27">K70*1.03</f>
        <v>477405</v>
      </c>
      <c r="L71" s="62" t="s">
        <v>16</v>
      </c>
      <c r="M71" s="64">
        <f t="shared" ref="M71:M74" si="28">M70*1.03</f>
        <v>477405</v>
      </c>
      <c r="N71" s="62" t="s">
        <v>16</v>
      </c>
      <c r="O71" s="64">
        <f t="shared" ref="O71:O74" si="29">O70*1.03</f>
        <v>477405</v>
      </c>
    </row>
    <row r="72" spans="3:15" x14ac:dyDescent="0.35">
      <c r="C72" s="62" t="s">
        <v>17</v>
      </c>
      <c r="D72" s="64">
        <f t="shared" si="24"/>
        <v>18670879.885500003</v>
      </c>
      <c r="E72" s="62" t="s">
        <v>17</v>
      </c>
      <c r="F72" s="64">
        <f t="shared" si="25"/>
        <v>10803245.4855</v>
      </c>
      <c r="G72" s="62" t="s">
        <v>17</v>
      </c>
      <c r="H72" s="64">
        <f t="shared" si="26"/>
        <v>10803245.4855</v>
      </c>
      <c r="J72" s="62" t="s">
        <v>17</v>
      </c>
      <c r="K72" s="64">
        <f t="shared" si="27"/>
        <v>491727.15</v>
      </c>
      <c r="L72" s="62" t="s">
        <v>17</v>
      </c>
      <c r="M72" s="64">
        <f t="shared" si="28"/>
        <v>491727.15</v>
      </c>
      <c r="N72" s="62" t="s">
        <v>17</v>
      </c>
      <c r="O72" s="64">
        <f t="shared" si="29"/>
        <v>491727.15</v>
      </c>
    </row>
    <row r="73" spans="3:15" x14ac:dyDescent="0.35">
      <c r="C73" s="62" t="s">
        <v>31</v>
      </c>
      <c r="D73" s="64">
        <f t="shared" si="24"/>
        <v>19231006.282065004</v>
      </c>
      <c r="E73" s="62" t="s">
        <v>31</v>
      </c>
      <c r="F73" s="64">
        <f t="shared" si="25"/>
        <v>11127342.850065</v>
      </c>
      <c r="G73" s="62" t="s">
        <v>31</v>
      </c>
      <c r="H73" s="64">
        <f t="shared" si="26"/>
        <v>11127342.850065</v>
      </c>
      <c r="J73" s="62" t="s">
        <v>31</v>
      </c>
      <c r="K73" s="64">
        <f t="shared" si="27"/>
        <v>506478.96450000006</v>
      </c>
      <c r="L73" s="62" t="s">
        <v>31</v>
      </c>
      <c r="M73" s="64">
        <f t="shared" si="28"/>
        <v>506478.96450000006</v>
      </c>
      <c r="N73" s="62" t="s">
        <v>31</v>
      </c>
      <c r="O73" s="64">
        <f t="shared" si="29"/>
        <v>506478.96450000006</v>
      </c>
    </row>
    <row r="74" spans="3:15" ht="15" thickBot="1" x14ac:dyDescent="0.4">
      <c r="C74" s="62" t="s">
        <v>32</v>
      </c>
      <c r="D74" s="77">
        <f t="shared" si="24"/>
        <v>19807936.470526956</v>
      </c>
      <c r="E74" s="62" t="s">
        <v>32</v>
      </c>
      <c r="F74" s="77">
        <f t="shared" si="25"/>
        <v>11461163.13556695</v>
      </c>
      <c r="G74" s="62" t="s">
        <v>32</v>
      </c>
      <c r="H74" s="77">
        <f t="shared" si="26"/>
        <v>11461163.13556695</v>
      </c>
      <c r="J74" s="62" t="s">
        <v>32</v>
      </c>
      <c r="K74" s="77">
        <f t="shared" si="27"/>
        <v>521673.3334350001</v>
      </c>
      <c r="L74" s="62" t="s">
        <v>32</v>
      </c>
      <c r="M74" s="77">
        <f t="shared" si="28"/>
        <v>521673.3334350001</v>
      </c>
      <c r="N74" s="62" t="s">
        <v>32</v>
      </c>
      <c r="O74" s="77">
        <f t="shared" si="29"/>
        <v>521673.3334350001</v>
      </c>
    </row>
    <row r="75" spans="3:15" ht="15" thickTop="1" x14ac:dyDescent="0.35">
      <c r="C75" s="66" t="s">
        <v>30</v>
      </c>
      <c r="D75" s="68">
        <f>D74-D69</f>
        <v>2721436.470526956</v>
      </c>
      <c r="E75" s="66" t="s">
        <v>30</v>
      </c>
      <c r="F75" s="68">
        <f>F74-F69</f>
        <v>1574663.1355669498</v>
      </c>
      <c r="G75" s="66" t="s">
        <v>30</v>
      </c>
      <c r="H75" s="68">
        <f>H74-H69</f>
        <v>1574663.1355669498</v>
      </c>
      <c r="J75" s="66" t="s">
        <v>30</v>
      </c>
      <c r="K75" s="68">
        <f>K74-K69</f>
        <v>71673.333435000095</v>
      </c>
      <c r="L75" s="66" t="s">
        <v>30</v>
      </c>
      <c r="M75" s="68">
        <f>M74-M69</f>
        <v>71673.333435000095</v>
      </c>
      <c r="N75" s="66" t="s">
        <v>30</v>
      </c>
      <c r="O75" s="68">
        <f>O74-O69</f>
        <v>71673.333435000095</v>
      </c>
    </row>
    <row r="76" spans="3:15" x14ac:dyDescent="0.35">
      <c r="C76" s="151" t="s">
        <v>84</v>
      </c>
      <c r="D76" s="151"/>
      <c r="E76" s="151" t="s">
        <v>86</v>
      </c>
      <c r="F76" s="151"/>
      <c r="G76" s="46"/>
      <c r="H76" s="46"/>
      <c r="J76" s="151" t="s">
        <v>84</v>
      </c>
      <c r="K76" s="151"/>
      <c r="L76" s="151" t="s">
        <v>86</v>
      </c>
      <c r="M76" s="151"/>
      <c r="N76" s="46"/>
      <c r="O76" s="46"/>
    </row>
    <row r="77" spans="3:15" x14ac:dyDescent="0.35">
      <c r="C77" s="62" t="s">
        <v>14</v>
      </c>
      <c r="D77" s="51">
        <f>N41</f>
        <v>8086500</v>
      </c>
      <c r="E77" s="62" t="s">
        <v>14</v>
      </c>
      <c r="F77" s="63">
        <f>N43</f>
        <v>15286500</v>
      </c>
      <c r="J77" s="62" t="s">
        <v>14</v>
      </c>
      <c r="K77" s="51">
        <f>O41</f>
        <v>450000</v>
      </c>
      <c r="L77" s="62" t="s">
        <v>14</v>
      </c>
      <c r="M77" s="63">
        <f>O43</f>
        <v>1350000</v>
      </c>
    </row>
    <row r="78" spans="3:15" x14ac:dyDescent="0.35">
      <c r="C78" s="62" t="s">
        <v>15</v>
      </c>
      <c r="D78" s="65">
        <f>D77*1.03</f>
        <v>8329095</v>
      </c>
      <c r="E78" s="62" t="s">
        <v>15</v>
      </c>
      <c r="F78" s="64">
        <f>F77*1.03</f>
        <v>15745095</v>
      </c>
      <c r="J78" s="62" t="s">
        <v>15</v>
      </c>
      <c r="K78" s="65">
        <f>K77*1.03</f>
        <v>463500</v>
      </c>
      <c r="L78" s="62" t="s">
        <v>15</v>
      </c>
      <c r="M78" s="64">
        <f>M77*1.03</f>
        <v>1390500</v>
      </c>
    </row>
    <row r="79" spans="3:15" x14ac:dyDescent="0.35">
      <c r="C79" s="62" t="s">
        <v>16</v>
      </c>
      <c r="D79" s="65">
        <f t="shared" ref="D79:D82" si="30">D78*1.03</f>
        <v>8578967.8499999996</v>
      </c>
      <c r="E79" s="62" t="s">
        <v>16</v>
      </c>
      <c r="F79" s="64">
        <f t="shared" ref="F79:F82" si="31">F78*1.03</f>
        <v>16217447.85</v>
      </c>
      <c r="J79" s="62" t="s">
        <v>16</v>
      </c>
      <c r="K79" s="65">
        <f t="shared" ref="K79:K82" si="32">K78*1.03</f>
        <v>477405</v>
      </c>
      <c r="L79" s="62" t="s">
        <v>16</v>
      </c>
      <c r="M79" s="64">
        <f t="shared" ref="M79:M82" si="33">M78*1.03</f>
        <v>1432215</v>
      </c>
    </row>
    <row r="80" spans="3:15" x14ac:dyDescent="0.35">
      <c r="C80" s="62" t="s">
        <v>17</v>
      </c>
      <c r="D80" s="65">
        <f t="shared" si="30"/>
        <v>8836336.8854999989</v>
      </c>
      <c r="E80" s="62" t="s">
        <v>17</v>
      </c>
      <c r="F80" s="64">
        <f t="shared" si="31"/>
        <v>16703971.285499999</v>
      </c>
      <c r="J80" s="62" t="s">
        <v>17</v>
      </c>
      <c r="K80" s="65">
        <f t="shared" si="32"/>
        <v>491727.15</v>
      </c>
      <c r="L80" s="62" t="s">
        <v>17</v>
      </c>
      <c r="M80" s="64">
        <f t="shared" si="33"/>
        <v>1475181.45</v>
      </c>
    </row>
    <row r="81" spans="2:15" x14ac:dyDescent="0.35">
      <c r="C81" s="62" t="s">
        <v>31</v>
      </c>
      <c r="D81" s="65">
        <f t="shared" si="30"/>
        <v>9101426.9920649994</v>
      </c>
      <c r="E81" s="62" t="s">
        <v>31</v>
      </c>
      <c r="F81" s="64">
        <f t="shared" si="31"/>
        <v>17205090.424065001</v>
      </c>
      <c r="J81" s="62" t="s">
        <v>31</v>
      </c>
      <c r="K81" s="65">
        <f t="shared" si="32"/>
        <v>506478.96450000006</v>
      </c>
      <c r="L81" s="62" t="s">
        <v>31</v>
      </c>
      <c r="M81" s="64">
        <f t="shared" si="33"/>
        <v>1519436.8935</v>
      </c>
    </row>
    <row r="82" spans="2:15" x14ac:dyDescent="0.35">
      <c r="C82" s="62" t="s">
        <v>32</v>
      </c>
      <c r="D82" s="65">
        <f t="shared" si="30"/>
        <v>9374469.8018269502</v>
      </c>
      <c r="E82" s="62" t="s">
        <v>32</v>
      </c>
      <c r="F82" s="64">
        <f t="shared" si="31"/>
        <v>17721243.136786953</v>
      </c>
      <c r="G82" s="1"/>
      <c r="H82" s="1"/>
      <c r="J82" s="62" t="s">
        <v>32</v>
      </c>
      <c r="K82" s="65">
        <f t="shared" si="32"/>
        <v>521673.3334350001</v>
      </c>
      <c r="L82" s="62" t="s">
        <v>32</v>
      </c>
      <c r="M82" s="64">
        <f t="shared" si="33"/>
        <v>1565020.000305</v>
      </c>
      <c r="N82" s="1"/>
      <c r="O82" s="1"/>
    </row>
    <row r="83" spans="2:15" x14ac:dyDescent="0.35">
      <c r="C83" s="66" t="s">
        <v>30</v>
      </c>
      <c r="D83" s="69">
        <f>D82-D77</f>
        <v>1287969.8018269502</v>
      </c>
      <c r="E83" s="66" t="s">
        <v>30</v>
      </c>
      <c r="F83" s="68">
        <f>F82-F77</f>
        <v>2434743.1367869526</v>
      </c>
      <c r="G83" s="23" t="s">
        <v>66</v>
      </c>
      <c r="H83" s="117">
        <f>SUM(D74,F74,H74,D82,F82)</f>
        <v>69825975.680274755</v>
      </c>
      <c r="J83" s="66" t="s">
        <v>30</v>
      </c>
      <c r="K83" s="69">
        <f>K82-K77</f>
        <v>71673.333435000095</v>
      </c>
      <c r="L83" s="66" t="s">
        <v>30</v>
      </c>
      <c r="M83" s="68">
        <f>M82-M77</f>
        <v>215020.00030499999</v>
      </c>
      <c r="N83" s="23" t="s">
        <v>66</v>
      </c>
      <c r="O83" s="117">
        <f>SUM(K74,M74,O74,K82,M82)</f>
        <v>3651713.3340450004</v>
      </c>
    </row>
    <row r="86" spans="2:15" ht="15" thickBot="1" x14ac:dyDescent="0.4"/>
    <row r="87" spans="2:15" ht="29.5" customHeight="1" x14ac:dyDescent="0.35">
      <c r="B87" s="154" t="s">
        <v>54</v>
      </c>
      <c r="C87" s="155"/>
    </row>
    <row r="88" spans="2:15" x14ac:dyDescent="0.35">
      <c r="B88" s="92"/>
      <c r="C88" s="93"/>
    </row>
    <row r="89" spans="2:15" x14ac:dyDescent="0.35">
      <c r="B89" s="92" t="s">
        <v>45</v>
      </c>
      <c r="C89" s="94">
        <v>0.8</v>
      </c>
    </row>
    <row r="90" spans="2:15" x14ac:dyDescent="0.35">
      <c r="B90" s="92" t="s">
        <v>46</v>
      </c>
      <c r="C90" s="94"/>
    </row>
    <row r="91" spans="2:15" ht="15" thickBot="1" x14ac:dyDescent="0.4">
      <c r="B91" s="95" t="s">
        <v>47</v>
      </c>
      <c r="C91" s="96">
        <v>0.2</v>
      </c>
    </row>
  </sheetData>
  <mergeCells count="34">
    <mergeCell ref="J67:O67"/>
    <mergeCell ref="J68:K68"/>
    <mergeCell ref="L68:M68"/>
    <mergeCell ref="N68:O68"/>
    <mergeCell ref="J76:K76"/>
    <mergeCell ref="L76:M76"/>
    <mergeCell ref="C67:H67"/>
    <mergeCell ref="C68:D68"/>
    <mergeCell ref="E68:F68"/>
    <mergeCell ref="G68:H68"/>
    <mergeCell ref="C76:D76"/>
    <mergeCell ref="E76:F76"/>
    <mergeCell ref="N49:O49"/>
    <mergeCell ref="B21:J21"/>
    <mergeCell ref="Q2:R2"/>
    <mergeCell ref="B87:C87"/>
    <mergeCell ref="G2:H2"/>
    <mergeCell ref="I2:J2"/>
    <mergeCell ref="K2:L2"/>
    <mergeCell ref="M2:N2"/>
    <mergeCell ref="O2:P2"/>
    <mergeCell ref="C57:D57"/>
    <mergeCell ref="E57:F57"/>
    <mergeCell ref="J57:K57"/>
    <mergeCell ref="L57:M57"/>
    <mergeCell ref="C48:H48"/>
    <mergeCell ref="J48:O48"/>
    <mergeCell ref="C49:D49"/>
    <mergeCell ref="B11:J11"/>
    <mergeCell ref="B27:G27"/>
    <mergeCell ref="G49:H49"/>
    <mergeCell ref="J49:K49"/>
    <mergeCell ref="L49:M49"/>
    <mergeCell ref="E49:F49"/>
  </mergeCells>
  <pageMargins left="0.5" right="0.5" top="1" bottom="1" header="0.3" footer="0.3"/>
  <pageSetup paperSize="3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D4A-2044-4202-BD2B-414056F0107D}">
  <dimension ref="A1:F13"/>
  <sheetViews>
    <sheetView zoomScaleNormal="100" workbookViewId="0">
      <selection activeCell="C17" sqref="C17"/>
    </sheetView>
  </sheetViews>
  <sheetFormatPr defaultColWidth="8.81640625" defaultRowHeight="14.5" x14ac:dyDescent="0.35"/>
  <cols>
    <col min="1" max="1" width="52.54296875" style="16" customWidth="1"/>
    <col min="2" max="2" width="13" style="16" bestFit="1" customWidth="1"/>
    <col min="3" max="3" width="18.453125" style="16" bestFit="1" customWidth="1"/>
    <col min="4" max="4" width="18" style="16" bestFit="1" customWidth="1"/>
    <col min="5" max="5" width="14" style="16" bestFit="1" customWidth="1"/>
    <col min="6" max="6" width="19.453125" style="16" bestFit="1" customWidth="1"/>
    <col min="7" max="16384" width="8.81640625" style="16"/>
  </cols>
  <sheetData>
    <row r="1" spans="1:6" ht="15" thickBot="1" x14ac:dyDescent="0.4">
      <c r="A1" s="112" t="s">
        <v>55</v>
      </c>
      <c r="B1" s="97" t="s">
        <v>45</v>
      </c>
      <c r="C1" s="97" t="s">
        <v>46</v>
      </c>
      <c r="D1" s="97" t="s">
        <v>47</v>
      </c>
      <c r="E1" s="97" t="s">
        <v>56</v>
      </c>
    </row>
    <row r="2" spans="1:6" x14ac:dyDescent="0.35">
      <c r="A2" s="99" t="s">
        <v>57</v>
      </c>
      <c r="B2" s="105">
        <f>'For Narrative'!C4</f>
        <v>0</v>
      </c>
      <c r="C2" s="161">
        <v>800000</v>
      </c>
      <c r="D2" s="161">
        <v>388341</v>
      </c>
      <c r="E2" s="100">
        <f>SUM(B2:D2)</f>
        <v>1188341</v>
      </c>
    </row>
    <row r="3" spans="1:6" ht="15" thickBot="1" x14ac:dyDescent="0.4">
      <c r="A3" s="101" t="s">
        <v>58</v>
      </c>
      <c r="B3" s="102">
        <v>0</v>
      </c>
      <c r="C3" s="102">
        <v>0</v>
      </c>
      <c r="D3" s="102">
        <v>80</v>
      </c>
      <c r="E3" s="103">
        <f>SUM(B3:D3)</f>
        <v>80</v>
      </c>
    </row>
    <row r="4" spans="1:6" x14ac:dyDescent="0.35">
      <c r="A4" s="165" t="s">
        <v>59</v>
      </c>
      <c r="B4" s="98">
        <f>E4*0.8</f>
        <v>2000000</v>
      </c>
      <c r="C4" s="98">
        <v>0</v>
      </c>
      <c r="D4" s="98">
        <f>E4*0.2</f>
        <v>500000</v>
      </c>
      <c r="E4" s="98">
        <v>2500000</v>
      </c>
    </row>
    <row r="5" spans="1:6" x14ac:dyDescent="0.35">
      <c r="A5" s="162" t="s">
        <v>60</v>
      </c>
      <c r="B5" s="163">
        <f>E5*0.8</f>
        <v>60000</v>
      </c>
      <c r="C5" s="163">
        <v>0</v>
      </c>
      <c r="D5" s="163">
        <f>E5*0.2</f>
        <v>15000</v>
      </c>
      <c r="E5" s="163">
        <v>75000</v>
      </c>
    </row>
    <row r="6" spans="1:6" ht="29" x14ac:dyDescent="0.35">
      <c r="A6" s="164" t="s">
        <v>82</v>
      </c>
      <c r="B6" s="163">
        <f>E6*0.8</f>
        <v>58782151.211455815</v>
      </c>
      <c r="C6" s="163">
        <v>0</v>
      </c>
      <c r="D6" s="163">
        <f>E6*0.2</f>
        <v>14695537.802863954</v>
      </c>
      <c r="E6" s="163">
        <v>73477689.014319763</v>
      </c>
      <c r="F6" s="106"/>
    </row>
    <row r="7" spans="1:6" ht="15" thickBot="1" x14ac:dyDescent="0.4">
      <c r="A7" s="109" t="s">
        <v>67</v>
      </c>
      <c r="B7" s="110">
        <f>E7*0.8</f>
        <v>8817322.6817183718</v>
      </c>
      <c r="C7" s="110">
        <v>0</v>
      </c>
      <c r="D7" s="110">
        <f>E7*0.2</f>
        <v>2204330.670429593</v>
      </c>
      <c r="E7" s="110">
        <v>11021653.352147965</v>
      </c>
    </row>
    <row r="8" spans="1:6" ht="15" thickTop="1" x14ac:dyDescent="0.35">
      <c r="A8" s="108" t="s">
        <v>56</v>
      </c>
      <c r="B8" s="111">
        <f>SUM(B4:B7)</f>
        <v>69659473.893174186</v>
      </c>
      <c r="C8" s="111">
        <f t="shared" ref="C8:D8" si="0">SUM(C4:C7)</f>
        <v>0</v>
      </c>
      <c r="D8" s="111">
        <f t="shared" si="0"/>
        <v>17414868.473293547</v>
      </c>
      <c r="E8" s="111">
        <f>SUM(E4:E7)</f>
        <v>87074342.366467729</v>
      </c>
      <c r="F8" s="106"/>
    </row>
    <row r="9" spans="1:6" x14ac:dyDescent="0.35">
      <c r="A9" s="104" t="s">
        <v>61</v>
      </c>
      <c r="B9" s="107">
        <f>B8/E8</f>
        <v>0.8</v>
      </c>
      <c r="C9" s="107">
        <v>0</v>
      </c>
      <c r="D9" s="107">
        <f>D8/E8</f>
        <v>0.2</v>
      </c>
      <c r="E9" s="42">
        <f>SUM(B9:D9)</f>
        <v>1</v>
      </c>
    </row>
    <row r="10" spans="1:6" x14ac:dyDescent="0.35">
      <c r="A10" s="158" t="s">
        <v>88</v>
      </c>
      <c r="B10" s="159"/>
      <c r="C10" s="159"/>
      <c r="D10" s="159"/>
      <c r="E10" s="160"/>
    </row>
    <row r="12" spans="1:6" x14ac:dyDescent="0.35">
      <c r="B12" s="106"/>
      <c r="C12" s="106"/>
      <c r="D12" s="106"/>
      <c r="E12" s="106"/>
    </row>
    <row r="13" spans="1:6" x14ac:dyDescent="0.35">
      <c r="D13" s="106"/>
    </row>
  </sheetData>
  <mergeCells count="1">
    <mergeCell ref="A10:E10"/>
  </mergeCells>
  <pageMargins left="0.7" right="0.7" top="0.75" bottom="0.75" header="0.3" footer="0.3"/>
  <pageSetup scale="82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4BC556C8D3E4890A97CB392D55129" ma:contentTypeVersion="4" ma:contentTypeDescription="Create a new document." ma:contentTypeScope="" ma:versionID="5ff8ec68290f33dff433a52214decb5e">
  <xsd:schema xmlns:xsd="http://www.w3.org/2001/XMLSchema" xmlns:xs="http://www.w3.org/2001/XMLSchema" xmlns:p="http://schemas.microsoft.com/office/2006/metadata/properties" xmlns:ns3="51097419-11fc-4888-9cba-8dfcb5538978" targetNamespace="http://schemas.microsoft.com/office/2006/metadata/properties" ma:root="true" ma:fieldsID="85e7f9127d0a8941bc46f67418eca3c4" ns3:_="">
    <xsd:import namespace="51097419-11fc-4888-9cba-8dfcb55389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97419-11fc-4888-9cba-8dfcb55389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32EBE9-F9F9-4A38-8DFC-51CD6E2966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6B52DA-1CEB-4A42-9224-6EB7EE8E79E9}">
  <ds:schemaRefs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51097419-11fc-4888-9cba-8dfcb5538978"/>
    <ds:schemaRef ds:uri="http://schemas.microsoft.com/office/2006/documentManagement/typ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59CF529-9DA4-4A94-A733-585EEFBA7B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097419-11fc-4888-9cba-8dfcb55389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Project Budget</vt:lpstr>
      <vt:lpstr>For Narrative</vt:lpstr>
      <vt:lpstr>'Project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CSXGA</dc:creator>
  <cp:lastModifiedBy>Elizabeth Bower</cp:lastModifiedBy>
  <cp:lastPrinted>2024-03-18T14:40:37Z</cp:lastPrinted>
  <dcterms:created xsi:type="dcterms:W3CDTF">2022-12-19T16:06:22Z</dcterms:created>
  <dcterms:modified xsi:type="dcterms:W3CDTF">2024-03-18T21:58:05Z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0x01010045E4BC556C8D3E4890A97CB392D55129</vt:lpwstr>
  </property>
</Properties>
</file>